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252" windowWidth="8220" windowHeight="7980" tabRatio="601"/>
  </bookViews>
  <sheets>
    <sheet name="cash flow statement" sheetId="40113" r:id="rId1"/>
    <sheet name="Αποτ. Χρήσεως" sheetId="117" r:id="rId2"/>
    <sheet name="Έσοδα από παραγωγή &amp; εμπορία" sheetId="114" r:id="rId3"/>
    <sheet name="Κόστος Πωλήσεων" sheetId="40114" state="hidden" r:id="rId4"/>
    <sheet name="Έξοδα Λειτουργίας" sheetId="101" r:id="rId5"/>
    <sheet name="Δανεισμός" sheetId="40112" r:id="rId6"/>
    <sheet name="Αρχική Επένδυση (€)" sheetId="2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_">[1]KEYINDI1!#REF!,[1]KEYINDI1!#REF!,[1]KEYINDI1!#REF!,[1]KEYINDI1!#REF!</definedName>
    <definedName name="Access">#REF!</definedName>
    <definedName name="Access_Top">#REF!</definedName>
    <definedName name="Acco_Pay">[2]Personnel!$S$39</definedName>
    <definedName name="account">#REF!</definedName>
    <definedName name="Annual_prices" localSheetId="4">#REF!</definedName>
    <definedName name="Annual_prices">#REF!</definedName>
    <definedName name="AsOfDate">#REF!</definedName>
    <definedName name="assets">'[3]EFG EUROBANK'!#REF!</definedName>
    <definedName name="B_LVal" localSheetId="0">'cash flow statement'!B_LVal</definedName>
    <definedName name="B_LVal" localSheetId="5">Δανεισμός!B_LVal</definedName>
    <definedName name="B_LVal" localSheetId="4">'Έξοδα Λειτουργίας'!B_LVal</definedName>
    <definedName name="B_LVal">[0]!B_LVal</definedName>
    <definedName name="BB_Modem">#REF!</definedName>
    <definedName name="BtmGLCName">#REF!</definedName>
    <definedName name="BU">#REF!</definedName>
    <definedName name="CallsVisit">#REF!</definedName>
    <definedName name="cc" localSheetId="0">'cash flow statement'!cc</definedName>
    <definedName name="cc" localSheetId="5">Δανεισμός!cc</definedName>
    <definedName name="cc" localSheetId="4">'Έξοδα Λειτουργίας'!cc</definedName>
    <definedName name="cc">[0]!cc</definedName>
    <definedName name="cf">[0]!cf</definedName>
    <definedName name="chk">#REF!</definedName>
    <definedName name="cipp">[0]!cipp</definedName>
    <definedName name="Cisco_Net">#REF!</definedName>
    <definedName name="Cities">[2]Map!$A$2:$A$72</definedName>
    <definedName name="ClothCost">#REF!</definedName>
    <definedName name="COMP">#REF!</definedName>
    <definedName name="CompanyName">#REF!</definedName>
    <definedName name="Components">#REF!</definedName>
    <definedName name="Compressor">'[4]Capital flows'!#REF!</definedName>
    <definedName name="Contr_Accou">[2]Personnel!$S$21</definedName>
    <definedName name="Contr_Opps">[2]Personnel!$S$15</definedName>
    <definedName name="Contract">#REF!</definedName>
    <definedName name="Copier_Printer">#REF!</definedName>
    <definedName name="Cost_Copier">#REF!</definedName>
    <definedName name="Cost_Courier">#REF!</definedName>
    <definedName name="Cost_Fax">#REF!</definedName>
    <definedName name="Cost_Hour">#REF!</definedName>
    <definedName name="Cost_Page">#REF!</definedName>
    <definedName name="Cost_Printer">#REF!</definedName>
    <definedName name="Costs">'[5]Cost lookup'!$E$12:$J$34</definedName>
    <definedName name="CostsInvestmentsPerProduct">[0]!CostsInvestmentsPerProduct</definedName>
    <definedName name="Deposit">#REF!</definedName>
    <definedName name="Depr_Fac">#REF!</definedName>
    <definedName name="Depr_Half">#REF!</definedName>
    <definedName name="Depreciation">#REF!</definedName>
    <definedName name="DLStart" localSheetId="4">#REF!</definedName>
    <definedName name="DLStart">#REF!</definedName>
    <definedName name="DocLT">#REF!</definedName>
    <definedName name="DocRent">#REF!</definedName>
    <definedName name="Dollar">[2]Data!$B$24</definedName>
    <definedName name="E_W_Coord">[2]Map!$B$2:$B$72</definedName>
    <definedName name="Edu_Account">#REF!</definedName>
    <definedName name="Edu_Manag">#REF!</definedName>
    <definedName name="Edu_Secret">#REF!</definedName>
    <definedName name="Empl_Contr">[2]Data!$B$13</definedName>
    <definedName name="Enclosure">'[4]Capital flows'!#REF!</definedName>
    <definedName name="Equant">[2]Data!$D$39:$F$45</definedName>
    <definedName name="equity_and_liabilities" localSheetId="4">[6]ΕΓΝΑΤΙΑ!#REF!</definedName>
    <definedName name="equity_and_liabilities">[7]ΕΓΝΑΤΙΑ!#REF!</definedName>
    <definedName name="Excess_BW">#REF!</definedName>
    <definedName name="EXP_BUYOFF">'[4]Capital flows'!#REF!</definedName>
    <definedName name="Exprt_Pay">[2]Personnel!$S$33</definedName>
    <definedName name="Fax_Page_Min">#REF!</definedName>
    <definedName name="FilingCost">#REF!</definedName>
    <definedName name="First_Ticker">#REF!</definedName>
    <definedName name="FirstCategory">#REF!</definedName>
    <definedName name="Foundation">'[4]Capital flows'!#REF!</definedName>
    <definedName name="FR_ports_card">#REF!</definedName>
    <definedName name="FRONT">#REF!</definedName>
    <definedName name="FrstYr">[2]Data!$B$35</definedName>
    <definedName name="Furn1">#REF!</definedName>
    <definedName name="Furn2">#REF!</definedName>
    <definedName name="g">[8]ΕΓΝΑΤΙΑ!#REF!</definedName>
    <definedName name="GC">[0]!GC</definedName>
    <definedName name="GoS_D">#REF!</definedName>
    <definedName name="GoS_V">#REF!</definedName>
    <definedName name="GRD_Unit">#REF!</definedName>
    <definedName name="Help_Pay">[2]Personnel!$S$40</definedName>
    <definedName name="HotlineCost">#REF!</definedName>
    <definedName name="IGXFRΔρχ">#REF!</definedName>
    <definedName name="IGXTrunkΔρχ">#REF!</definedName>
    <definedName name="Inst_Dur_Flt">#REF!</definedName>
    <definedName name="Inst_Dur_POP">#REF!</definedName>
    <definedName name="Inst_HP">#REF!</definedName>
    <definedName name="Inst_LD2w">#REF!</definedName>
    <definedName name="Inst_LD4w">#REF!</definedName>
    <definedName name="Inst_LL">#REF!</definedName>
    <definedName name="Inst_Other">#REF!</definedName>
    <definedName name="Inst_PF">#REF!</definedName>
    <definedName name="Inst_WL">#REF!</definedName>
    <definedName name="int.multiples" localSheetId="0">'cash flow statement'!int.multiples</definedName>
    <definedName name="int.multiples" localSheetId="5">Δανεισμός!int.multiples</definedName>
    <definedName name="int.multiples" localSheetId="4">'Έξοδα Λειτουργίας'!int.multiples</definedName>
    <definedName name="int.multiples">[0]!int.multiples</definedName>
    <definedName name="Interest">[2]Data!$B$14</definedName>
    <definedName name="IP_Compress">#REF!</definedName>
    <definedName name="ISDN_BRI_MRC">#REF!</definedName>
    <definedName name="ISDN_BRI_NRC">#REF!</definedName>
    <definedName name="ISDN_Modem">#REF!</definedName>
    <definedName name="ISDN_PRI_MRC">#REF!</definedName>
    <definedName name="ISDN_PRI_NRC">#REF!</definedName>
    <definedName name="Kbps">[2]Data!$B$39:$B$60</definedName>
    <definedName name="Kbps_BB">#REF!</definedName>
    <definedName name="Kbps_source">#REF!</definedName>
    <definedName name="Kbps_VB">#REF!</definedName>
    <definedName name="Kbps_VoiceCh">#REF!</definedName>
    <definedName name="label">#REF!</definedName>
    <definedName name="LabMgn">#REF!</definedName>
    <definedName name="LabPct">#REF!</definedName>
    <definedName name="LD_Dist">#REF!</definedName>
    <definedName name="LocumShifts">#REF!</definedName>
    <definedName name="Macro2" localSheetId="0">'cash flow statement'!Macro2</definedName>
    <definedName name="Macro2" localSheetId="5">Δανεισμός!Macro2</definedName>
    <definedName name="Macro2" localSheetId="4">'Έξοδα Λειτουργίας'!Macro2</definedName>
    <definedName name="Macro2">[0]!Macro2</definedName>
    <definedName name="macro22" localSheetId="0">'cash flow statement'!macro22</definedName>
    <definedName name="macro22" localSheetId="5">Δανεισμός!macro22</definedName>
    <definedName name="macro22" localSheetId="4">'Έξοδα Λειτουργίας'!macro22</definedName>
    <definedName name="macro22">[0]!macro22</definedName>
    <definedName name="MailCost">#REF!</definedName>
    <definedName name="Mark_Pay">[2]Personnel!$S$38</definedName>
    <definedName name="MaterialCost">#REF!</definedName>
    <definedName name="MaterMgn">#REF!</definedName>
    <definedName name="MaterPct">#REF!</definedName>
    <definedName name="Max_Trunk_Kbps">#REF!</definedName>
    <definedName name="MaxKm_BB">#REF!</definedName>
    <definedName name="MaxKm_VB">#REF!</definedName>
    <definedName name="Mngm_Pay">[2]Personnel!$S$32</definedName>
    <definedName name="Mngr_Secr">[2]Personnel!$S$25</definedName>
    <definedName name="Modem_Inst">#REF!</definedName>
    <definedName name="Modem_Maint">#REF!</definedName>
    <definedName name="Monthly_Prices" localSheetId="4">#REF!</definedName>
    <definedName name="Monthly_Prices">#REF!</definedName>
    <definedName name="MRC_LD">#REF!</definedName>
    <definedName name="MRC_LL_Flt">#REF!</definedName>
    <definedName name="MRC_LL_Len">#REF!</definedName>
    <definedName name="MVE_Book">#REF!</definedName>
    <definedName name="MVE_ECF">#REF!</definedName>
    <definedName name="MVE_NI">#REF!</definedName>
    <definedName name="MVIC_EBIT">#REF!</definedName>
    <definedName name="MVIC_EBITDA">#REF!</definedName>
    <definedName name="MVIC_Sales">#REF!</definedName>
    <definedName name="N_S_Coord">[2]Map!$C$2:$C$72</definedName>
    <definedName name="name">#REF!</definedName>
    <definedName name="Net_Bw_Cos_FR">#REF!</definedName>
    <definedName name="Net_Bw_Cos_IP">#REF!</definedName>
    <definedName name="Net_Col">#REF!</definedName>
    <definedName name="Net_Cost">#REF!</definedName>
    <definedName name="Net_Hw_Cos_FR">#REF!</definedName>
    <definedName name="Net_Hw_Cos_IP">#REF!</definedName>
    <definedName name="Net_Links_FR">#REF!</definedName>
    <definedName name="Net_Links_IP">#REF!</definedName>
    <definedName name="Net_Man">#REF!</definedName>
    <definedName name="Net_Nod_M">#REF!</definedName>
    <definedName name="Net_Nod_R_FR">#REF!</definedName>
    <definedName name="Net_Nod_R_IP">#REF!</definedName>
    <definedName name="Net_Nodes">#REF!</definedName>
    <definedName name="Net_Row">#REF!</definedName>
    <definedName name="NightFee">#REF!</definedName>
    <definedName name="NightNum">#REF!</definedName>
    <definedName name="nmasbja">[0]!nmasbja</definedName>
    <definedName name="Node_Codes">#REF!</definedName>
    <definedName name="Node_X_Coord">#REF!</definedName>
    <definedName name="Node_Y_Coord">#REF!</definedName>
    <definedName name="OfficeFirst">#REF!</definedName>
    <definedName name="OfficeLT">#REF!</definedName>
    <definedName name="OfficeSpec">#REF!</definedName>
    <definedName name="Opps_Pay">[2]Personnel!$S$36</definedName>
    <definedName name="OTE_GRD_min">#REF!</definedName>
    <definedName name="Overtime">#REF!</definedName>
    <definedName name="P_ON_D">#REF!</definedName>
    <definedName name="P_ON_V">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8">#REF!</definedName>
    <definedName name="page19">#REF!</definedName>
    <definedName name="page2">#REF!</definedName>
    <definedName name="page20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7a">#REF!</definedName>
    <definedName name="page7b">#REF!</definedName>
    <definedName name="page8">#REF!</definedName>
    <definedName name="page9">#REF!</definedName>
    <definedName name="page9a">#REF!</definedName>
    <definedName name="Palletizer_Change_parts">'[4]Capital flows'!#REF!</definedName>
    <definedName name="Pers_Secr">[2]Personnel!$S$26</definedName>
    <definedName name="Pers_Top">[2]Personnel!$S$24</definedName>
    <definedName name="PF_Comm">#REF!</definedName>
    <definedName name="Platform_IGX_8420">#REF!</definedName>
    <definedName name="Platform_IGX_8440">#REF!</definedName>
    <definedName name="Platform_IGX8410">#REF!</definedName>
    <definedName name="POP_Sal">[2]Personnel!$S$17</definedName>
    <definedName name="PriceExtra">#REF!</definedName>
    <definedName name="PriceLab">#REF!</definedName>
    <definedName name="PriceMater">#REF!</definedName>
    <definedName name="PriceProced">#REF!</definedName>
    <definedName name="PriceVisit">#REF!</definedName>
    <definedName name="_xlnm.Print_Area" localSheetId="0">'cash flow statement'!$A$1:$L$37</definedName>
    <definedName name="_xlnm.Print_Area" localSheetId="1">'Αποτ. Χρήσεως'!$B$4:$T$61</definedName>
    <definedName name="_xlnm.Print_Area" localSheetId="6">'Αρχική Επένδυση (€)'!$C$4:$F$35</definedName>
    <definedName name="_xlnm.Print_Area" localSheetId="5">Δανεισμός!$B$2:$O$17</definedName>
    <definedName name="_xlnm.Print_Area" localSheetId="4">'Έξοδα Λειτουργίας'!$B$3:$N$41</definedName>
    <definedName name="_xlnm.Print_Area" localSheetId="2">'Έσοδα από παραγωγή &amp; εμπορία'!$C$3:$M$23</definedName>
    <definedName name="_xlnm.Print_Area" localSheetId="3">'Κόστος Πωλήσεων'!$B$5:$N$15</definedName>
    <definedName name="_xlnm.Print_Titles" localSheetId="4">'Έξοδα Λειτουργίας'!#REF!</definedName>
    <definedName name="Printer_Fax">#REF!</definedName>
    <definedName name="ProcedPct">#REF!</definedName>
    <definedName name="Production_of_Products" localSheetId="4">#REF!</definedName>
    <definedName name="Production_of_Products">#REF!</definedName>
    <definedName name="Profit___Loss_Statement">#REF!</definedName>
    <definedName name="projections">[0]!projections</definedName>
    <definedName name="Refurbishm2">#REF!</definedName>
    <definedName name="RentHQm2">#REF!</definedName>
    <definedName name="Rentm2">#REF!</definedName>
    <definedName name="Reports">#REF!</definedName>
    <definedName name="RiskBonus">#REF!</definedName>
    <definedName name="RMCOptions">"*010000000000000"</definedName>
    <definedName name="Roun">[2]Data!$B$34</definedName>
    <definedName name="rvdf" localSheetId="0">'cash flow statement'!rvdf</definedName>
    <definedName name="rvdf" localSheetId="5">Δανεισμός!rvdf</definedName>
    <definedName name="rvdf" localSheetId="4">'Έξοδα Λειτουργίας'!rvdf</definedName>
    <definedName name="rvdf">[0]!rvdf</definedName>
    <definedName name="Sal_Mrkt">[2]Personnel!$S$19</definedName>
    <definedName name="Sal_Pay">[2]Personnel!$S$37</definedName>
    <definedName name="sales">[0]!sales</definedName>
    <definedName name="Secr_Pay">[2]Personnel!$S$41</definedName>
    <definedName name="shf">[0]!shf</definedName>
    <definedName name="Sidel_mc">'[4]Capital flows'!#REF!</definedName>
    <definedName name="Sidel_Upgrade">'[4]Capital flows'!#REF!</definedName>
    <definedName name="sjhdg">[0]!sjhdg</definedName>
    <definedName name="Slab">'[4]Capital flows'!#REF!</definedName>
    <definedName name="Slots_IGX8410">#REF!</definedName>
    <definedName name="Slots_IGX8420">#REF!</definedName>
    <definedName name="Slots_IGX8440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7000000</definedName>
    <definedName name="SpecTimesliceMax">#REF!</definedName>
    <definedName name="StaffSalaryContr">#REF!</definedName>
    <definedName name="Start" localSheetId="4">#REF!</definedName>
    <definedName name="Start">#REF!</definedName>
    <definedName name="Start2">#REF!</definedName>
    <definedName name="StartBACS">#REF!</definedName>
    <definedName name="StartDL" localSheetId="4">#REF!</definedName>
    <definedName name="StartDL">#REF!</definedName>
    <definedName name="StartNwsLtr">#REF!</definedName>
    <definedName name="StartPBS">#REF!</definedName>
    <definedName name="StartPBSCS">#REF!</definedName>
    <definedName name="StartPIS">#REF!</definedName>
    <definedName name="StartPISCS">#REF!</definedName>
    <definedName name="StartPRA1">#REF!</definedName>
    <definedName name="StartPRA2">#REF!</definedName>
    <definedName name="StartPRA3">#REF!</definedName>
    <definedName name="StartRA3">#REF!</definedName>
    <definedName name="StartVal">#REF!</definedName>
    <definedName name="StartWACC1">#REF!</definedName>
    <definedName name="Support">#REF!</definedName>
    <definedName name="Tech_Node">[2]Personnel!$S$10</definedName>
    <definedName name="Tech_Pay">[2]Personnel!$S$34</definedName>
    <definedName name="Tech_Serv">[2]Personnel!$S$8</definedName>
    <definedName name="Test">#REF!:#REF!</definedName>
    <definedName name="Tester">'[4]Capital flows'!#REF!</definedName>
    <definedName name="Tester_change_parts">'[4]Capital flows'!#REF!</definedName>
    <definedName name="Tester_Upgrade">'[4]Capital flows'!#REF!</definedName>
    <definedName name="Total_Production_Monthly" localSheetId="4">#REF!</definedName>
    <definedName name="Total_Production_Monthly">#REF!</definedName>
    <definedName name="Trunk_Total_Cards">#REF!</definedName>
    <definedName name="Unit_Min">#REF!</definedName>
    <definedName name="USD">#REF!</definedName>
    <definedName name="Utilization">#REF!</definedName>
    <definedName name="Utilm2">#REF!</definedName>
    <definedName name="UtilStart">#REF!</definedName>
    <definedName name="VAT">#REF!</definedName>
    <definedName name="VB_Modem">#REF!</definedName>
    <definedName name="VisitsFirstMax">#REF!</definedName>
    <definedName name="VisitsLTMax">#REF!</definedName>
    <definedName name="VisitsNightMax">#REF!</definedName>
    <definedName name="VisitsSpecMax">#REF!</definedName>
    <definedName name="WL_Inst">#REF!</definedName>
    <definedName name="WL_MaxLen">#REF!</definedName>
    <definedName name="WL_Modem">#REF!</definedName>
    <definedName name="WorkDays">#REF!</definedName>
    <definedName name="WorkPC">#REF!</definedName>
    <definedName name="wrn.Budget." localSheetId="0" hidden="1">{#N/A,#N/A,TRUE,"Export Market Sales"}</definedName>
    <definedName name="wrn.Budget." localSheetId="5" hidden="1">{#N/A,#N/A,TRUE,"Export Market Sales"}</definedName>
    <definedName name="wrn.Budget." localSheetId="4" hidden="1">{#N/A,#N/A,TRUE,"Export Market Sales"}</definedName>
    <definedName name="wrn.Budget." hidden="1">{#N/A,#N/A,TRUE,"Export Market Sales"}</definedName>
    <definedName name="Xtra_Pay">[2]Personnel!$S$35</definedName>
    <definedName name="Z_D734DF20_A449_11D2_A2DB_DA337CA44A17_.wvu.Rows" localSheetId="4" hidden="1">'[9]COST-BEN'!#REF!</definedName>
    <definedName name="Z_D734DF20_A449_11D2_A2DB_DA337CA44A17_.wvu.Rows" hidden="1">'[9]COST-BEN'!#REF!</definedName>
    <definedName name="ανταγωνισμός">#REF!</definedName>
    <definedName name="ΠΡΟΒΛΕΨΕΙΣ">[0]!ΠΡΟΒΛΕΨΕΙΣ</definedName>
    <definedName name="πωλησεις">[0]!πωλησεις</definedName>
  </definedNames>
  <calcPr calcId="125725"/>
</workbook>
</file>

<file path=xl/calcChain.xml><?xml version="1.0" encoding="utf-8"?>
<calcChain xmlns="http://schemas.openxmlformats.org/spreadsheetml/2006/main">
  <c r="G23" i="40113"/>
  <c r="H23"/>
  <c r="I23"/>
  <c r="J23"/>
  <c r="K23"/>
  <c r="L23"/>
  <c r="H75"/>
  <c r="H76" s="1"/>
  <c r="C71"/>
  <c r="C76" s="1"/>
  <c r="M39"/>
  <c r="M66" s="1"/>
  <c r="C17"/>
  <c r="E35" i="28"/>
  <c r="F32" s="1"/>
  <c r="D6" i="40112"/>
  <c r="D12" i="114"/>
  <c r="D20"/>
  <c r="D22"/>
  <c r="K10" i="117"/>
  <c r="E37" i="101"/>
  <c r="E40" s="1"/>
  <c r="K23" i="117" s="1"/>
  <c r="E22" i="101"/>
  <c r="E12" i="114"/>
  <c r="E22" s="1"/>
  <c r="L10" i="117" s="1"/>
  <c r="E20" i="114"/>
  <c r="L16" i="117"/>
  <c r="F37" i="101"/>
  <c r="F22"/>
  <c r="F40"/>
  <c r="L23" i="117"/>
  <c r="F20" i="114"/>
  <c r="M16" i="117"/>
  <c r="G37" i="101"/>
  <c r="G22"/>
  <c r="G40"/>
  <c r="M23" i="117"/>
  <c r="G9" i="114"/>
  <c r="G17"/>
  <c r="G20"/>
  <c r="G28" i="101"/>
  <c r="H28" s="1"/>
  <c r="H29"/>
  <c r="G36"/>
  <c r="H36" s="1"/>
  <c r="G10"/>
  <c r="H10" s="1"/>
  <c r="H11"/>
  <c r="H14"/>
  <c r="I14" s="1"/>
  <c r="G21"/>
  <c r="H21"/>
  <c r="I21" s="1"/>
  <c r="J21" s="1"/>
  <c r="K21" s="1"/>
  <c r="L21" s="1"/>
  <c r="M21" s="1"/>
  <c r="N21" s="1"/>
  <c r="H19" i="114"/>
  <c r="H17" s="1"/>
  <c r="O16" i="117"/>
  <c r="I31" i="101"/>
  <c r="I29"/>
  <c r="J29" s="1"/>
  <c r="K29" s="1"/>
  <c r="L29" s="1"/>
  <c r="M29" s="1"/>
  <c r="N29" s="1"/>
  <c r="I13"/>
  <c r="I11" s="1"/>
  <c r="I16"/>
  <c r="J16" s="1"/>
  <c r="K16" s="1"/>
  <c r="L16" s="1"/>
  <c r="M16" s="1"/>
  <c r="N16" s="1"/>
  <c r="P16" i="117"/>
  <c r="J31" i="101"/>
  <c r="K31"/>
  <c r="L31"/>
  <c r="M31" s="1"/>
  <c r="N31" s="1"/>
  <c r="S16" i="117"/>
  <c r="K54"/>
  <c r="K55" s="1"/>
  <c r="L54"/>
  <c r="L55" s="1"/>
  <c r="M54"/>
  <c r="M55" s="1"/>
  <c r="C9" i="40112"/>
  <c r="C25" s="1"/>
  <c r="E17"/>
  <c r="D22"/>
  <c r="E22" s="1"/>
  <c r="K45" i="117"/>
  <c r="K51"/>
  <c r="L45"/>
  <c r="L51"/>
  <c r="L71"/>
  <c r="M71" s="1"/>
  <c r="N71" s="1"/>
  <c r="O71" s="1"/>
  <c r="P71" s="1"/>
  <c r="Q71" s="1"/>
  <c r="M45"/>
  <c r="M51"/>
  <c r="N45"/>
  <c r="N51"/>
  <c r="O45"/>
  <c r="O51"/>
  <c r="P32"/>
  <c r="P45"/>
  <c r="P51"/>
  <c r="Q45"/>
  <c r="Q51"/>
  <c r="R45"/>
  <c r="R51"/>
  <c r="S45"/>
  <c r="S51"/>
  <c r="T45"/>
  <c r="T51"/>
  <c r="K65"/>
  <c r="L78"/>
  <c r="M78" s="1"/>
  <c r="K83"/>
  <c r="L83"/>
  <c r="M83"/>
  <c r="N83"/>
  <c r="O83"/>
  <c r="P83"/>
  <c r="P76"/>
  <c r="Q76" s="1"/>
  <c r="R76" s="1"/>
  <c r="S76" s="1"/>
  <c r="T76" s="1"/>
  <c r="Q83"/>
  <c r="R83"/>
  <c r="S83"/>
  <c r="L33"/>
  <c r="M33" s="1"/>
  <c r="N33" s="1"/>
  <c r="O33" s="1"/>
  <c r="I37"/>
  <c r="I38" s="1"/>
  <c r="I52" s="1"/>
  <c r="I56" s="1"/>
  <c r="J37"/>
  <c r="J38" s="1"/>
  <c r="J52" s="1"/>
  <c r="J56" s="1"/>
  <c r="J57" s="1"/>
  <c r="T83"/>
  <c r="E9" i="28"/>
  <c r="F9"/>
  <c r="F10"/>
  <c r="G4" i="40112"/>
  <c r="H4" s="1"/>
  <c r="I4" s="1"/>
  <c r="J4" s="1"/>
  <c r="K4" s="1"/>
  <c r="L4" s="1"/>
  <c r="M4" s="1"/>
  <c r="N4" s="1"/>
  <c r="O4" s="1"/>
  <c r="P4" s="1"/>
  <c r="Q4" s="1"/>
  <c r="R4" s="1"/>
  <c r="S4" s="1"/>
  <c r="T4" s="1"/>
  <c r="G5"/>
  <c r="H5" s="1"/>
  <c r="I5" s="1"/>
  <c r="J5" s="1"/>
  <c r="K5" s="1"/>
  <c r="L5" s="1"/>
  <c r="M5" s="1"/>
  <c r="N5" s="1"/>
  <c r="O5" s="1"/>
  <c r="E6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P12"/>
  <c r="Q12"/>
  <c r="R12"/>
  <c r="S12"/>
  <c r="T12"/>
  <c r="P15"/>
  <c r="Q15"/>
  <c r="R15"/>
  <c r="S15"/>
  <c r="T15"/>
  <c r="D16"/>
  <c r="E16"/>
  <c r="D17"/>
  <c r="C20"/>
  <c r="F21"/>
  <c r="H21" s="1"/>
  <c r="J21" s="1"/>
  <c r="L21" s="1"/>
  <c r="N21" s="1"/>
  <c r="P21" s="1"/>
  <c r="R21" s="1"/>
  <c r="T21" s="1"/>
  <c r="V21" s="1"/>
  <c r="X21" s="1"/>
  <c r="Z21" s="1"/>
  <c r="AB21" s="1"/>
  <c r="AD21" s="1"/>
  <c r="AF21" s="1"/>
  <c r="W27"/>
  <c r="X27"/>
  <c r="Y27"/>
  <c r="Z27"/>
  <c r="AA27"/>
  <c r="AB27"/>
  <c r="AC27"/>
  <c r="AD27"/>
  <c r="AE27"/>
  <c r="AF27"/>
  <c r="E9" i="101"/>
  <c r="F9"/>
  <c r="G9"/>
  <c r="F10"/>
  <c r="E12"/>
  <c r="F12"/>
  <c r="G12"/>
  <c r="F13"/>
  <c r="G13"/>
  <c r="E15"/>
  <c r="F15"/>
  <c r="G15"/>
  <c r="F16"/>
  <c r="G16"/>
  <c r="E18"/>
  <c r="F18"/>
  <c r="G18"/>
  <c r="E20"/>
  <c r="F20"/>
  <c r="G20"/>
  <c r="F21"/>
  <c r="F23"/>
  <c r="G23"/>
  <c r="E24"/>
  <c r="F24"/>
  <c r="G24"/>
  <c r="E27"/>
  <c r="F27"/>
  <c r="G27"/>
  <c r="F28"/>
  <c r="E30"/>
  <c r="F30"/>
  <c r="G30"/>
  <c r="F31"/>
  <c r="G31"/>
  <c r="E33"/>
  <c r="F33"/>
  <c r="G33"/>
  <c r="E35"/>
  <c r="F35"/>
  <c r="G35"/>
  <c r="F36"/>
  <c r="F38"/>
  <c r="G38"/>
  <c r="E39"/>
  <c r="F39"/>
  <c r="F41"/>
  <c r="G41"/>
  <c r="D10" i="114"/>
  <c r="E10"/>
  <c r="D18"/>
  <c r="E18"/>
  <c r="G18"/>
  <c r="E19"/>
  <c r="F19"/>
  <c r="E23"/>
  <c r="F26"/>
  <c r="F28" s="1"/>
  <c r="F27"/>
  <c r="G27"/>
  <c r="H27" s="1"/>
  <c r="E28"/>
  <c r="E11"/>
  <c r="F11"/>
  <c r="H11"/>
  <c r="H9" s="1"/>
  <c r="F12"/>
  <c r="F22" s="1"/>
  <c r="M10" i="117" s="1"/>
  <c r="G12" i="114"/>
  <c r="G22" s="1"/>
  <c r="N10" i="117" s="1"/>
  <c r="H15" i="40114"/>
  <c r="F15"/>
  <c r="N14"/>
  <c r="J14"/>
  <c r="F14"/>
  <c r="N13"/>
  <c r="T12" i="117" s="1"/>
  <c r="M13" i="40114"/>
  <c r="S12" i="117" s="1"/>
  <c r="L13" i="40114"/>
  <c r="R12" i="117" s="1"/>
  <c r="K13" i="40114"/>
  <c r="Q12" i="117" s="1"/>
  <c r="J13" i="40114"/>
  <c r="P12" i="117" s="1"/>
  <c r="I13" i="40114"/>
  <c r="I14" s="1"/>
  <c r="H13"/>
  <c r="N12" i="117" s="1"/>
  <c r="N13" s="1"/>
  <c r="G13" i="40114"/>
  <c r="M12" i="117" s="1"/>
  <c r="M13" s="1"/>
  <c r="F13" i="40114"/>
  <c r="F11" s="1"/>
  <c r="E13"/>
  <c r="E15" s="1"/>
  <c r="I12"/>
  <c r="J12" s="1"/>
  <c r="K12" s="1"/>
  <c r="L12" s="1"/>
  <c r="M12" s="1"/>
  <c r="N12" s="1"/>
  <c r="G12"/>
  <c r="F12"/>
  <c r="M11"/>
  <c r="L11"/>
  <c r="I11"/>
  <c r="H11"/>
  <c r="E11"/>
  <c r="M68" i="40113"/>
  <c r="M60"/>
  <c r="M59"/>
  <c r="M63" s="1"/>
  <c r="M58"/>
  <c r="M54"/>
  <c r="M48"/>
  <c r="M44"/>
  <c r="L44"/>
  <c r="K44"/>
  <c r="J44"/>
  <c r="I44"/>
  <c r="G44"/>
  <c r="F44"/>
  <c r="E44"/>
  <c r="D44"/>
  <c r="C44"/>
  <c r="B40"/>
  <c r="L24"/>
  <c r="K24"/>
  <c r="J24"/>
  <c r="I24"/>
  <c r="H24"/>
  <c r="B24"/>
  <c r="B23"/>
  <c r="L18"/>
  <c r="K18"/>
  <c r="J18"/>
  <c r="I18"/>
  <c r="H18"/>
  <c r="G18"/>
  <c r="B17"/>
  <c r="B18" s="1"/>
  <c r="D11"/>
  <c r="E11" s="1"/>
  <c r="F11" s="1"/>
  <c r="C10"/>
  <c r="C12" s="1"/>
  <c r="C59" s="1"/>
  <c r="E7"/>
  <c r="E48" s="1"/>
  <c r="D7"/>
  <c r="D48" s="1"/>
  <c r="C7"/>
  <c r="C48" s="1"/>
  <c r="D4"/>
  <c r="E4" s="1"/>
  <c r="F4" s="1"/>
  <c r="G4" s="1"/>
  <c r="H4" s="1"/>
  <c r="I4" s="1"/>
  <c r="J4" s="1"/>
  <c r="K4" s="1"/>
  <c r="L4" s="1"/>
  <c r="G26" i="114" l="1"/>
  <c r="S16" i="40112"/>
  <c r="D24"/>
  <c r="C23"/>
  <c r="D23" s="1"/>
  <c r="E23" s="1"/>
  <c r="F23" s="1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V23" s="1"/>
  <c r="T16"/>
  <c r="P16"/>
  <c r="D25"/>
  <c r="F15" s="1"/>
  <c r="D23" i="40113"/>
  <c r="D18"/>
  <c r="C23"/>
  <c r="F33" i="28"/>
  <c r="F34"/>
  <c r="C18" i="40113"/>
  <c r="D10"/>
  <c r="D12" s="1"/>
  <c r="D59" s="1"/>
  <c r="C26" i="40112"/>
  <c r="B32" i="40113"/>
  <c r="B35" s="1"/>
  <c r="B41"/>
  <c r="M64"/>
  <c r="E54"/>
  <c r="F10"/>
  <c r="G11"/>
  <c r="D54"/>
  <c r="C54"/>
  <c r="E10"/>
  <c r="E12" s="1"/>
  <c r="E59" s="1"/>
  <c r="J11" i="40114"/>
  <c r="N11"/>
  <c r="G14"/>
  <c r="K14"/>
  <c r="L12" i="117"/>
  <c r="L13" s="1"/>
  <c r="B68" i="40113"/>
  <c r="M14" i="40114"/>
  <c r="G15"/>
  <c r="K12" i="117"/>
  <c r="K13" s="1"/>
  <c r="O12"/>
  <c r="G11" i="40114"/>
  <c r="K11"/>
  <c r="H14"/>
  <c r="L14"/>
  <c r="M14" i="117"/>
  <c r="M11"/>
  <c r="M24"/>
  <c r="R33"/>
  <c r="S33" s="1"/>
  <c r="T33" s="1"/>
  <c r="P33"/>
  <c r="N78"/>
  <c r="H34" i="101"/>
  <c r="I36"/>
  <c r="J36" s="1"/>
  <c r="K36" s="1"/>
  <c r="L36" s="1"/>
  <c r="M36" s="1"/>
  <c r="N36" s="1"/>
  <c r="K24" i="117"/>
  <c r="K20"/>
  <c r="L20" s="1"/>
  <c r="M20" s="1"/>
  <c r="F23" i="114"/>
  <c r="G10"/>
  <c r="G39" i="101"/>
  <c r="N14" i="117"/>
  <c r="N11"/>
  <c r="I57"/>
  <c r="I58"/>
  <c r="J58" s="1"/>
  <c r="R71"/>
  <c r="H8" i="101"/>
  <c r="I10"/>
  <c r="J10" s="1"/>
  <c r="K10" s="1"/>
  <c r="L10" s="1"/>
  <c r="M10" s="1"/>
  <c r="N10" s="1"/>
  <c r="G23" i="114"/>
  <c r="F18"/>
  <c r="I9"/>
  <c r="H12"/>
  <c r="Q16" i="40112"/>
  <c r="H20" i="114"/>
  <c r="I17"/>
  <c r="H26" i="101"/>
  <c r="I28"/>
  <c r="J28" s="1"/>
  <c r="K28" s="1"/>
  <c r="L28" s="1"/>
  <c r="M28" s="1"/>
  <c r="N28" s="1"/>
  <c r="L11" i="117"/>
  <c r="L24"/>
  <c r="E24" i="40112"/>
  <c r="F22"/>
  <c r="E25"/>
  <c r="I11" i="114"/>
  <c r="J11" s="1"/>
  <c r="K11" s="1"/>
  <c r="L11" s="1"/>
  <c r="M11" s="1"/>
  <c r="F10"/>
  <c r="R16" i="40112"/>
  <c r="J14" i="101"/>
  <c r="K14" i="117"/>
  <c r="C24" i="40112"/>
  <c r="I19" i="114"/>
  <c r="J19" s="1"/>
  <c r="K19" s="1"/>
  <c r="L19" s="1"/>
  <c r="M19" s="1"/>
  <c r="H19" i="101"/>
  <c r="J13"/>
  <c r="K13" s="1"/>
  <c r="L13" s="1"/>
  <c r="M13" s="1"/>
  <c r="N13" s="1"/>
  <c r="F35" i="28" l="1"/>
  <c r="H26" i="114"/>
  <c r="H28" s="1"/>
  <c r="G28"/>
  <c r="D26" i="40112"/>
  <c r="E26" s="1"/>
  <c r="C29" i="40113"/>
  <c r="F17" i="40112"/>
  <c r="D27"/>
  <c r="E23" i="40113"/>
  <c r="E18"/>
  <c r="F23"/>
  <c r="F18"/>
  <c r="L14" i="117"/>
  <c r="L15" s="1"/>
  <c r="F12" i="40112"/>
  <c r="F13" s="1"/>
  <c r="C27"/>
  <c r="H11" i="40113"/>
  <c r="G22" i="40112"/>
  <c r="F24"/>
  <c r="F25"/>
  <c r="H22" i="114"/>
  <c r="I34" i="101"/>
  <c r="L17" i="117"/>
  <c r="L26" s="1"/>
  <c r="S71"/>
  <c r="J9" i="114"/>
  <c r="I12"/>
  <c r="H22" i="101"/>
  <c r="I8"/>
  <c r="H9"/>
  <c r="M17" i="117"/>
  <c r="M26" s="1"/>
  <c r="M15"/>
  <c r="N54"/>
  <c r="N55" s="1"/>
  <c r="F7" i="40113" s="1"/>
  <c r="F48" s="1"/>
  <c r="I19" i="101"/>
  <c r="H20"/>
  <c r="K14"/>
  <c r="I20" i="114"/>
  <c r="J15" i="40114" s="1"/>
  <c r="J17" i="114"/>
  <c r="I15" i="40114"/>
  <c r="I26" i="101"/>
  <c r="H37"/>
  <c r="H27" s="1"/>
  <c r="N15" i="117"/>
  <c r="N17"/>
  <c r="F12" i="40113"/>
  <c r="F59" s="1"/>
  <c r="K17" i="117"/>
  <c r="K26" s="1"/>
  <c r="K15"/>
  <c r="O78"/>
  <c r="E27" i="40112"/>
  <c r="J11" i="101"/>
  <c r="F27" i="40112" l="1"/>
  <c r="K9" i="114"/>
  <c r="J12"/>
  <c r="J19" i="101"/>
  <c r="O54" i="117"/>
  <c r="O55" s="1"/>
  <c r="G7" i="40113" s="1"/>
  <c r="G48" s="1"/>
  <c r="J34" i="101"/>
  <c r="I35"/>
  <c r="T71" i="117"/>
  <c r="I11" i="40113"/>
  <c r="G12" i="40112"/>
  <c r="G15"/>
  <c r="I22" i="114"/>
  <c r="H35" i="101"/>
  <c r="I37"/>
  <c r="J26"/>
  <c r="I27"/>
  <c r="L14"/>
  <c r="I22"/>
  <c r="J8"/>
  <c r="K27" i="117"/>
  <c r="K60"/>
  <c r="C6" i="40113"/>
  <c r="P78" i="117"/>
  <c r="F54" i="40113"/>
  <c r="M27" i="117"/>
  <c r="M60"/>
  <c r="E6" i="40113"/>
  <c r="H24" i="101"/>
  <c r="H12"/>
  <c r="H15"/>
  <c r="H18"/>
  <c r="H23"/>
  <c r="L27" i="117"/>
  <c r="L60"/>
  <c r="D6" i="40113"/>
  <c r="G24" i="40112"/>
  <c r="G25"/>
  <c r="H22"/>
  <c r="F26"/>
  <c r="O10" i="117"/>
  <c r="H18" i="114"/>
  <c r="H23"/>
  <c r="H10"/>
  <c r="F14" i="40112"/>
  <c r="K37" i="117" s="1"/>
  <c r="K38" s="1"/>
  <c r="K52" s="1"/>
  <c r="K56" s="1"/>
  <c r="C24" i="40113"/>
  <c r="C31"/>
  <c r="F16" i="40112"/>
  <c r="K11" i="101"/>
  <c r="H40"/>
  <c r="H30"/>
  <c r="H33"/>
  <c r="H38"/>
  <c r="H39"/>
  <c r="J20" i="114"/>
  <c r="K15" i="40114" s="1"/>
  <c r="K17" i="114"/>
  <c r="E38" i="40113" l="1"/>
  <c r="C38"/>
  <c r="D38"/>
  <c r="K64" i="117"/>
  <c r="K68" s="1"/>
  <c r="K90"/>
  <c r="K91" s="1"/>
  <c r="K70"/>
  <c r="K73" s="1"/>
  <c r="C8" i="40113" s="1"/>
  <c r="C58" s="1"/>
  <c r="K57" i="117"/>
  <c r="K20" i="114"/>
  <c r="L15" i="40114" s="1"/>
  <c r="L17" i="114"/>
  <c r="K18"/>
  <c r="O11" i="117"/>
  <c r="O14"/>
  <c r="O13"/>
  <c r="G10" i="40113"/>
  <c r="G12" s="1"/>
  <c r="G59" s="1"/>
  <c r="I22" i="40112"/>
  <c r="H24"/>
  <c r="H12" s="1"/>
  <c r="H25"/>
  <c r="H15" s="1"/>
  <c r="Q78" i="117"/>
  <c r="I24" i="101"/>
  <c r="I12"/>
  <c r="I15"/>
  <c r="I18"/>
  <c r="I23"/>
  <c r="I40"/>
  <c r="I39"/>
  <c r="I30"/>
  <c r="I33"/>
  <c r="I38"/>
  <c r="G16" i="40112"/>
  <c r="D29" i="40113"/>
  <c r="G17" i="40112"/>
  <c r="G13"/>
  <c r="D24" i="40113" s="1"/>
  <c r="D31"/>
  <c r="L11" i="101"/>
  <c r="N23" i="117"/>
  <c r="H41" i="101"/>
  <c r="G27" i="40112"/>
  <c r="L61" i="117"/>
  <c r="M14" i="101"/>
  <c r="J37"/>
  <c r="K26"/>
  <c r="J11" i="40113"/>
  <c r="G26" i="40112"/>
  <c r="I9" i="101"/>
  <c r="I20"/>
  <c r="J22" i="114"/>
  <c r="K61" i="117"/>
  <c r="K8" i="101"/>
  <c r="J22"/>
  <c r="J9"/>
  <c r="P10" i="117"/>
  <c r="I23" i="114"/>
  <c r="I10"/>
  <c r="I18"/>
  <c r="K34" i="101"/>
  <c r="K19"/>
  <c r="P54" i="117"/>
  <c r="P55" s="1"/>
  <c r="H7" i="40113" s="1"/>
  <c r="J20" i="101"/>
  <c r="M61" i="117"/>
  <c r="G54" i="40113"/>
  <c r="L9" i="114"/>
  <c r="K10"/>
  <c r="K12"/>
  <c r="K22" s="1"/>
  <c r="H27" i="40112" l="1"/>
  <c r="H26"/>
  <c r="C9" i="40113"/>
  <c r="C13" s="1"/>
  <c r="C20" s="1"/>
  <c r="K93" i="117"/>
  <c r="K94" s="1"/>
  <c r="J40" i="101"/>
  <c r="J39"/>
  <c r="J30"/>
  <c r="J33"/>
  <c r="J38"/>
  <c r="N20" i="117"/>
  <c r="O20" s="1"/>
  <c r="P20" s="1"/>
  <c r="N24"/>
  <c r="N26"/>
  <c r="K37" i="101"/>
  <c r="K27" s="1"/>
  <c r="L26"/>
  <c r="O23" i="117"/>
  <c r="I41" i="101"/>
  <c r="I24" i="40112"/>
  <c r="I25"/>
  <c r="I26" s="1"/>
  <c r="J22"/>
  <c r="H13"/>
  <c r="E24" i="40113" s="1"/>
  <c r="E31"/>
  <c r="O17" i="117"/>
  <c r="O15"/>
  <c r="K74"/>
  <c r="K69"/>
  <c r="J27" i="101"/>
  <c r="H16" i="40112"/>
  <c r="E29" i="40113"/>
  <c r="Q10" i="117"/>
  <c r="J23" i="114"/>
  <c r="J18"/>
  <c r="J10"/>
  <c r="N14" i="101"/>
  <c r="L34"/>
  <c r="K35"/>
  <c r="L8"/>
  <c r="K22"/>
  <c r="K9"/>
  <c r="R10" i="117"/>
  <c r="J10" i="40113" s="1"/>
  <c r="K23" i="114"/>
  <c r="L19" i="101"/>
  <c r="Q54" i="117"/>
  <c r="Q55" s="1"/>
  <c r="I7" i="40113" s="1"/>
  <c r="I48" s="1"/>
  <c r="J18" i="101"/>
  <c r="J23"/>
  <c r="J24"/>
  <c r="J15"/>
  <c r="J12"/>
  <c r="M11"/>
  <c r="H17" i="40112"/>
  <c r="R78" i="117"/>
  <c r="G14" i="40112"/>
  <c r="L37" i="117" s="1"/>
  <c r="L38" s="1"/>
  <c r="L52" s="1"/>
  <c r="L56" s="1"/>
  <c r="J35" i="101"/>
  <c r="K75" i="117"/>
  <c r="L20" i="114"/>
  <c r="M15" i="40114" s="1"/>
  <c r="M17" i="114"/>
  <c r="M9"/>
  <c r="L12"/>
  <c r="P11" i="117"/>
  <c r="P14"/>
  <c r="P13"/>
  <c r="H10" i="40113"/>
  <c r="H12" s="1"/>
  <c r="K11"/>
  <c r="N17" l="1"/>
  <c r="O26" i="117"/>
  <c r="L11" i="40113"/>
  <c r="L90" i="117"/>
  <c r="L91" s="1"/>
  <c r="L64"/>
  <c r="L57"/>
  <c r="L69"/>
  <c r="L70"/>
  <c r="L73" s="1"/>
  <c r="D8" i="40113" s="1"/>
  <c r="S78" i="117"/>
  <c r="I54" i="40113"/>
  <c r="K18" i="101"/>
  <c r="K23"/>
  <c r="K24"/>
  <c r="K15"/>
  <c r="K12"/>
  <c r="J25" i="40112"/>
  <c r="I15" s="1"/>
  <c r="I17" s="1"/>
  <c r="K22"/>
  <c r="J24"/>
  <c r="I12" s="1"/>
  <c r="O24" i="117"/>
  <c r="L37" i="101"/>
  <c r="M26"/>
  <c r="L27"/>
  <c r="P15" i="117"/>
  <c r="P17"/>
  <c r="M12" i="114"/>
  <c r="N11" i="101"/>
  <c r="R14" i="117"/>
  <c r="R11"/>
  <c r="R13"/>
  <c r="M34" i="101"/>
  <c r="L35"/>
  <c r="K77" i="117"/>
  <c r="C28" i="40113" s="1"/>
  <c r="K92" i="117"/>
  <c r="P23"/>
  <c r="P24" s="1"/>
  <c r="J41" i="101"/>
  <c r="K20"/>
  <c r="Q14" i="117"/>
  <c r="Q11"/>
  <c r="Q13"/>
  <c r="I10" i="40113"/>
  <c r="I12" s="1"/>
  <c r="I59" s="1"/>
  <c r="O27" i="117"/>
  <c r="O60"/>
  <c r="G6" i="40113"/>
  <c r="I27" i="40112"/>
  <c r="M20" i="114"/>
  <c r="N15" i="40114" s="1"/>
  <c r="R54" i="117"/>
  <c r="R55" s="1"/>
  <c r="J7" i="40113" s="1"/>
  <c r="J48" s="1"/>
  <c r="M19" i="101"/>
  <c r="M8"/>
  <c r="L22"/>
  <c r="L20" s="1"/>
  <c r="K40"/>
  <c r="K30"/>
  <c r="K33"/>
  <c r="K38"/>
  <c r="K39"/>
  <c r="N27" i="117"/>
  <c r="N60"/>
  <c r="F6" i="40113"/>
  <c r="L22" i="114"/>
  <c r="H14" i="40112"/>
  <c r="M37" i="117" s="1"/>
  <c r="M38" s="1"/>
  <c r="M52" s="1"/>
  <c r="M56" s="1"/>
  <c r="C68" i="40113" l="1"/>
  <c r="C39"/>
  <c r="F38"/>
  <c r="C75" s="1"/>
  <c r="D76" s="1"/>
  <c r="P26" i="117"/>
  <c r="G38" i="40113"/>
  <c r="D75" s="1"/>
  <c r="J26" i="40112"/>
  <c r="J27"/>
  <c r="L75" i="117"/>
  <c r="K88"/>
  <c r="L65" s="1"/>
  <c r="L68" s="1"/>
  <c r="L74" s="1"/>
  <c r="L93"/>
  <c r="L94" s="1"/>
  <c r="Q23"/>
  <c r="K41" i="101"/>
  <c r="M64" i="117"/>
  <c r="M57"/>
  <c r="M69"/>
  <c r="M70"/>
  <c r="M73" s="1"/>
  <c r="E8" i="40113" s="1"/>
  <c r="M90" i="117"/>
  <c r="M91" s="1"/>
  <c r="S54"/>
  <c r="S55" s="1"/>
  <c r="K7" i="40113" s="1"/>
  <c r="K48" s="1"/>
  <c r="N19" i="101"/>
  <c r="S10" i="117"/>
  <c r="L23" i="114"/>
  <c r="L18"/>
  <c r="L10"/>
  <c r="I16" i="40112"/>
  <c r="F29" i="40113"/>
  <c r="O61" i="117"/>
  <c r="C60" i="40113"/>
  <c r="C32"/>
  <c r="C35" s="1"/>
  <c r="C37" s="1"/>
  <c r="N34" i="101"/>
  <c r="M35"/>
  <c r="L40"/>
  <c r="L30"/>
  <c r="L33"/>
  <c r="L38"/>
  <c r="L39"/>
  <c r="K24" i="40112"/>
  <c r="K25"/>
  <c r="L22"/>
  <c r="T78" i="117"/>
  <c r="D58" i="40113"/>
  <c r="D9"/>
  <c r="D13" s="1"/>
  <c r="L9" i="101"/>
  <c r="K26" i="40112"/>
  <c r="N8" i="101"/>
  <c r="M22"/>
  <c r="J54" i="40113"/>
  <c r="I13" i="40112"/>
  <c r="F24" i="40113" s="1"/>
  <c r="F31"/>
  <c r="N26" i="101"/>
  <c r="M37"/>
  <c r="M27"/>
  <c r="L24"/>
  <c r="L18"/>
  <c r="L23"/>
  <c r="L15"/>
  <c r="L12"/>
  <c r="Q17" i="117"/>
  <c r="Q15"/>
  <c r="P27"/>
  <c r="P60"/>
  <c r="H6" i="40113"/>
  <c r="N61" i="117"/>
  <c r="R15"/>
  <c r="R17"/>
  <c r="J12" i="40113"/>
  <c r="J59" s="1"/>
  <c r="M22" i="114"/>
  <c r="E76" i="40113" l="1"/>
  <c r="E78" s="1"/>
  <c r="E77"/>
  <c r="H38"/>
  <c r="D20"/>
  <c r="D21" s="1"/>
  <c r="I14" i="40112"/>
  <c r="N37" i="117" s="1"/>
  <c r="N38" s="1"/>
  <c r="N52" s="1"/>
  <c r="N56" s="1"/>
  <c r="N90" s="1"/>
  <c r="N91" s="1"/>
  <c r="Q26"/>
  <c r="M93"/>
  <c r="M94" s="1"/>
  <c r="M24" i="101"/>
  <c r="M18"/>
  <c r="M23"/>
  <c r="M15"/>
  <c r="M12"/>
  <c r="S14" i="117"/>
  <c r="S11"/>
  <c r="S13"/>
  <c r="K10" i="40113"/>
  <c r="K12" s="1"/>
  <c r="K59" s="1"/>
  <c r="K54"/>
  <c r="Q20" i="117"/>
  <c r="R20" s="1"/>
  <c r="S20" s="1"/>
  <c r="Q24"/>
  <c r="T10"/>
  <c r="M23" i="114"/>
  <c r="M10"/>
  <c r="M18"/>
  <c r="K27" i="40112"/>
  <c r="R23" i="117"/>
  <c r="R24" s="1"/>
  <c r="L41" i="101"/>
  <c r="C63" i="40113"/>
  <c r="C64" s="1"/>
  <c r="T54" i="117"/>
  <c r="T55" s="1"/>
  <c r="L7" i="40113" s="1"/>
  <c r="L48" s="1"/>
  <c r="M75" i="117"/>
  <c r="P61"/>
  <c r="N37" i="101"/>
  <c r="N27"/>
  <c r="D14" i="40113"/>
  <c r="D36"/>
  <c r="E58"/>
  <c r="E9"/>
  <c r="E13" s="1"/>
  <c r="R26" i="117"/>
  <c r="M9" i="101"/>
  <c r="Q27" i="117"/>
  <c r="Q60"/>
  <c r="I6" i="40113"/>
  <c r="L92" i="117"/>
  <c r="L77"/>
  <c r="D28" i="40113" s="1"/>
  <c r="M40" i="101"/>
  <c r="M39"/>
  <c r="M30"/>
  <c r="M33"/>
  <c r="M38"/>
  <c r="N22"/>
  <c r="N20" s="1"/>
  <c r="N9"/>
  <c r="M22" i="40112"/>
  <c r="L25"/>
  <c r="J15" s="1"/>
  <c r="L24"/>
  <c r="J12" s="1"/>
  <c r="N35" i="101"/>
  <c r="M20"/>
  <c r="E75" i="40113" l="1"/>
  <c r="F75" s="1"/>
  <c r="D80"/>
  <c r="D81" s="1"/>
  <c r="D84" s="1"/>
  <c r="D85" s="1"/>
  <c r="N64" i="117"/>
  <c r="N69"/>
  <c r="N70"/>
  <c r="N73" s="1"/>
  <c r="F8" i="40113" s="1"/>
  <c r="F9" s="1"/>
  <c r="F13" s="1"/>
  <c r="N57" i="117"/>
  <c r="I38" i="40113"/>
  <c r="D39"/>
  <c r="D66" s="1"/>
  <c r="D68"/>
  <c r="E20"/>
  <c r="L88" i="117"/>
  <c r="M65" s="1"/>
  <c r="M68" s="1"/>
  <c r="M74" s="1"/>
  <c r="M92" s="1"/>
  <c r="J16" i="40112"/>
  <c r="G29" i="40113"/>
  <c r="J17" i="40112"/>
  <c r="J13"/>
  <c r="G24" i="40113" s="1"/>
  <c r="G31"/>
  <c r="R27" i="117"/>
  <c r="R60"/>
  <c r="J6" i="40113"/>
  <c r="N22" i="40112"/>
  <c r="M24"/>
  <c r="M25"/>
  <c r="E14" i="40113"/>
  <c r="N18" i="101"/>
  <c r="N23"/>
  <c r="N24"/>
  <c r="N15"/>
  <c r="N12"/>
  <c r="T11" i="117"/>
  <c r="T14"/>
  <c r="T13"/>
  <c r="L10" i="40113"/>
  <c r="L12" s="1"/>
  <c r="L59" s="1"/>
  <c r="S15" i="117"/>
  <c r="S17"/>
  <c r="L27" i="40112"/>
  <c r="D60" i="40113"/>
  <c r="D32"/>
  <c r="D35" s="1"/>
  <c r="D37" s="1"/>
  <c r="N40" i="101"/>
  <c r="N39"/>
  <c r="N30"/>
  <c r="N33"/>
  <c r="N38"/>
  <c r="L54" i="40113"/>
  <c r="L26" i="40112"/>
  <c r="S23" i="117"/>
  <c r="S24" s="1"/>
  <c r="M41" i="101"/>
  <c r="Q61" i="117"/>
  <c r="F76" i="40113" l="1"/>
  <c r="F58"/>
  <c r="N93" i="117"/>
  <c r="N94" s="1"/>
  <c r="N75"/>
  <c r="E21" i="40113"/>
  <c r="E68"/>
  <c r="E39"/>
  <c r="E66" s="1"/>
  <c r="J38"/>
  <c r="F20"/>
  <c r="J14" i="40112"/>
  <c r="O37" i="117" s="1"/>
  <c r="O38" s="1"/>
  <c r="O52" s="1"/>
  <c r="O56" s="1"/>
  <c r="O64" s="1"/>
  <c r="M77"/>
  <c r="E28" i="40113" s="1"/>
  <c r="E32" s="1"/>
  <c r="E35" s="1"/>
  <c r="M26" i="40112"/>
  <c r="T15" i="117"/>
  <c r="T17"/>
  <c r="N24" i="40112"/>
  <c r="K12" s="1"/>
  <c r="O22"/>
  <c r="N25"/>
  <c r="K15" s="1"/>
  <c r="S26" i="117"/>
  <c r="T23"/>
  <c r="N41" i="101"/>
  <c r="D63" i="40113"/>
  <c r="D64" s="1"/>
  <c r="M27" i="40112"/>
  <c r="R61" i="117"/>
  <c r="E36" i="40113"/>
  <c r="F14"/>
  <c r="E60" l="1"/>
  <c r="O57" i="117"/>
  <c r="O69"/>
  <c r="F21" i="40113"/>
  <c r="F68"/>
  <c r="F39"/>
  <c r="F66" s="1"/>
  <c r="O90" i="117"/>
  <c r="O91" s="1"/>
  <c r="O70"/>
  <c r="O73" s="1"/>
  <c r="G8" i="40113" s="1"/>
  <c r="G58" s="1"/>
  <c r="M88" i="117"/>
  <c r="N65" s="1"/>
  <c r="N68" s="1"/>
  <c r="N74" s="1"/>
  <c r="N77" s="1"/>
  <c r="F28" i="40113" s="1"/>
  <c r="N26" i="40112"/>
  <c r="E37" i="40113"/>
  <c r="K16" i="40112"/>
  <c r="H29" i="40113"/>
  <c r="E63"/>
  <c r="E64" s="1"/>
  <c r="K14" i="40112"/>
  <c r="P37" i="117" s="1"/>
  <c r="P38" s="1"/>
  <c r="P52" s="1"/>
  <c r="P56" s="1"/>
  <c r="H31" i="40113"/>
  <c r="T26" i="117"/>
  <c r="N27" i="40112"/>
  <c r="S27" i="117"/>
  <c r="S60"/>
  <c r="K6" i="40113"/>
  <c r="O24" i="40112"/>
  <c r="O25"/>
  <c r="P22"/>
  <c r="T24" i="117"/>
  <c r="T20"/>
  <c r="K17" i="40112"/>
  <c r="N92" i="117" l="1"/>
  <c r="O93"/>
  <c r="O94" s="1"/>
  <c r="G9" i="40113"/>
  <c r="G13" s="1"/>
  <c r="G20" s="1"/>
  <c r="O75" i="117"/>
  <c r="K38" i="40113"/>
  <c r="F36"/>
  <c r="O27" i="40112"/>
  <c r="N88" i="117"/>
  <c r="O65" s="1"/>
  <c r="O68" s="1"/>
  <c r="O74" s="1"/>
  <c r="P24" i="40112"/>
  <c r="L12" s="1"/>
  <c r="Q22"/>
  <c r="P25"/>
  <c r="L15" s="1"/>
  <c r="S61" i="117"/>
  <c r="T27"/>
  <c r="T60"/>
  <c r="L6" i="40113"/>
  <c r="O26" i="40112"/>
  <c r="F60" i="40113"/>
  <c r="F32"/>
  <c r="F35" s="1"/>
  <c r="P64" i="117"/>
  <c r="P57"/>
  <c r="P69"/>
  <c r="P70"/>
  <c r="P73" s="1"/>
  <c r="H8" i="40113" s="1"/>
  <c r="H9" s="1"/>
  <c r="H13" s="1"/>
  <c r="G14" l="1"/>
  <c r="L38"/>
  <c r="G21"/>
  <c r="G68"/>
  <c r="G39"/>
  <c r="G66" s="1"/>
  <c r="H20"/>
  <c r="F37"/>
  <c r="L14" i="40112"/>
  <c r="Q37" i="117" s="1"/>
  <c r="Q38" s="1"/>
  <c r="Q52" s="1"/>
  <c r="Q56" s="1"/>
  <c r="I31" i="40113"/>
  <c r="L16" i="40112"/>
  <c r="I29" i="40113"/>
  <c r="L17" i="40112"/>
  <c r="F63" i="40113"/>
  <c r="F64" s="1"/>
  <c r="T61" i="117"/>
  <c r="H14" i="40113"/>
  <c r="O92" i="117"/>
  <c r="O77"/>
  <c r="G28" i="40113" s="1"/>
  <c r="P26" i="40112"/>
  <c r="P27"/>
  <c r="B42" i="40113"/>
  <c r="R22" i="40112"/>
  <c r="Q24"/>
  <c r="Q25"/>
  <c r="P75" i="117"/>
  <c r="H21" i="40113" l="1"/>
  <c r="H39"/>
  <c r="H66" s="1"/>
  <c r="H68"/>
  <c r="G36"/>
  <c r="G60"/>
  <c r="G32"/>
  <c r="G35" s="1"/>
  <c r="Q27" i="40112"/>
  <c r="Q70" i="117"/>
  <c r="Q73" s="1"/>
  <c r="I8" i="40113" s="1"/>
  <c r="Q64" i="117"/>
  <c r="Q57"/>
  <c r="Q69"/>
  <c r="O88"/>
  <c r="P65" s="1"/>
  <c r="P68" s="1"/>
  <c r="P74" s="1"/>
  <c r="R25" i="40112"/>
  <c r="M15" s="1"/>
  <c r="R24"/>
  <c r="S22"/>
  <c r="Q26"/>
  <c r="G37" i="40113" l="1"/>
  <c r="H36" s="1"/>
  <c r="J29"/>
  <c r="M17" i="40112"/>
  <c r="R27"/>
  <c r="T22"/>
  <c r="S24"/>
  <c r="S25"/>
  <c r="I58" i="40113"/>
  <c r="I9"/>
  <c r="I13" s="1"/>
  <c r="M12" i="40112"/>
  <c r="R26"/>
  <c r="Q75" i="117"/>
  <c r="P77"/>
  <c r="H28" i="40113" s="1"/>
  <c r="H32" s="1"/>
  <c r="H35" s="1"/>
  <c r="G63"/>
  <c r="G64" s="1"/>
  <c r="I20" l="1"/>
  <c r="H37"/>
  <c r="I36" s="1"/>
  <c r="S26" i="40112"/>
  <c r="M14"/>
  <c r="R37" i="117" s="1"/>
  <c r="R38" s="1"/>
  <c r="R52" s="1"/>
  <c r="R56" s="1"/>
  <c r="J31" i="40113"/>
  <c r="M16" i="40112"/>
  <c r="I14" i="40113"/>
  <c r="T24" i="40112"/>
  <c r="N12" s="1"/>
  <c r="U22"/>
  <c r="T25"/>
  <c r="N15" s="1"/>
  <c r="P88" i="117"/>
  <c r="Q65" s="1"/>
  <c r="Q68" s="1"/>
  <c r="Q74" s="1"/>
  <c r="S27" i="40112"/>
  <c r="I39" i="40113" l="1"/>
  <c r="I66" s="1"/>
  <c r="I68"/>
  <c r="C70" s="1"/>
  <c r="D71" s="1"/>
  <c r="I21"/>
  <c r="T26" i="40112"/>
  <c r="N16"/>
  <c r="K29" i="40113"/>
  <c r="N17" i="40112"/>
  <c r="T27"/>
  <c r="V22"/>
  <c r="U24"/>
  <c r="U25"/>
  <c r="R57" i="117"/>
  <c r="R70"/>
  <c r="R73" s="1"/>
  <c r="J8" i="40113" s="1"/>
  <c r="R64" i="117"/>
  <c r="R69"/>
  <c r="N14" i="40112"/>
  <c r="S37" i="117" s="1"/>
  <c r="S38" s="1"/>
  <c r="S52" s="1"/>
  <c r="S56" s="1"/>
  <c r="K31" i="40113"/>
  <c r="Q77" i="117"/>
  <c r="I28" i="40113" s="1"/>
  <c r="U26" i="40112" l="1"/>
  <c r="R75" i="117"/>
  <c r="Q88"/>
  <c r="R65" s="1"/>
  <c r="R68" s="1"/>
  <c r="R74" s="1"/>
  <c r="U27" i="40112"/>
  <c r="I60" i="40113"/>
  <c r="I32"/>
  <c r="I35" s="1"/>
  <c r="I37" s="1"/>
  <c r="S64" i="117"/>
  <c r="S70"/>
  <c r="S73" s="1"/>
  <c r="K8" i="40113" s="1"/>
  <c r="S57" i="117"/>
  <c r="S69"/>
  <c r="J58" i="40113"/>
  <c r="J9"/>
  <c r="J13" s="1"/>
  <c r="V24" i="40112"/>
  <c r="V25"/>
  <c r="C28" s="1"/>
  <c r="W22"/>
  <c r="X22" s="1"/>
  <c r="Y22" s="1"/>
  <c r="Z22" s="1"/>
  <c r="AA22" s="1"/>
  <c r="AB22" s="1"/>
  <c r="AC22" s="1"/>
  <c r="AD22" s="1"/>
  <c r="AE22" s="1"/>
  <c r="AF22" s="1"/>
  <c r="J20" i="40113" l="1"/>
  <c r="V27" i="40112"/>
  <c r="S75" i="117"/>
  <c r="J36" i="40113"/>
  <c r="R77" i="117"/>
  <c r="J28" i="40113" s="1"/>
  <c r="J14"/>
  <c r="O15" i="40112"/>
  <c r="K58" i="40113"/>
  <c r="K9"/>
  <c r="K13" s="1"/>
  <c r="I63"/>
  <c r="I64" s="1"/>
  <c r="V26" i="40112"/>
  <c r="O12"/>
  <c r="J21" i="40113" l="1"/>
  <c r="J68"/>
  <c r="D70" s="1"/>
  <c r="J39"/>
  <c r="J66" s="1"/>
  <c r="K20"/>
  <c r="R88" i="117"/>
  <c r="S65" s="1"/>
  <c r="S68" s="1"/>
  <c r="S74" s="1"/>
  <c r="J60" i="40113"/>
  <c r="J32"/>
  <c r="J35" s="1"/>
  <c r="J37" s="1"/>
  <c r="K14"/>
  <c r="O14" i="40112"/>
  <c r="T37" i="117" s="1"/>
  <c r="T38" s="1"/>
  <c r="T52" s="1"/>
  <c r="T56" s="1"/>
  <c r="L31" i="40113"/>
  <c r="O16" i="40112"/>
  <c r="L29" i="40113"/>
  <c r="V15" i="40112"/>
  <c r="O17"/>
  <c r="E71" i="40113" l="1"/>
  <c r="E72"/>
  <c r="K68"/>
  <c r="K39"/>
  <c r="K66" s="1"/>
  <c r="K21"/>
  <c r="K36"/>
  <c r="S77" i="117"/>
  <c r="K28" i="40113" s="1"/>
  <c r="P17" i="40112"/>
  <c r="T57" i="117"/>
  <c r="T70"/>
  <c r="T73" s="1"/>
  <c r="L8" i="40113" s="1"/>
  <c r="T64" i="117"/>
  <c r="T69"/>
  <c r="J63" i="40113"/>
  <c r="J64" s="1"/>
  <c r="E73" l="1"/>
  <c r="H71"/>
  <c r="H72" s="1"/>
  <c r="H73" s="1"/>
  <c r="E70"/>
  <c r="S88" i="117"/>
  <c r="T65" s="1"/>
  <c r="T68" s="1"/>
  <c r="T74" s="1"/>
  <c r="L58" i="40113"/>
  <c r="L9"/>
  <c r="L13" s="1"/>
  <c r="K60"/>
  <c r="K32"/>
  <c r="K35" s="1"/>
  <c r="K37" s="1"/>
  <c r="Q17" i="40112"/>
  <c r="T75" i="117"/>
  <c r="H74" i="40113" l="1"/>
  <c r="F70"/>
  <c r="F71"/>
  <c r="N14"/>
  <c r="N15" s="1"/>
  <c r="L20"/>
  <c r="T77" i="117"/>
  <c r="L28" i="40113" s="1"/>
  <c r="L36"/>
  <c r="R17" i="40112"/>
  <c r="L14" i="40113"/>
  <c r="K63"/>
  <c r="K64" s="1"/>
  <c r="L39" l="1"/>
  <c r="L66" s="1"/>
  <c r="L68"/>
  <c r="N68" s="1"/>
  <c r="O20"/>
  <c r="N21"/>
  <c r="N22" s="1"/>
  <c r="L21"/>
  <c r="S17" i="40112"/>
  <c r="T88" i="117"/>
  <c r="L60" i="40113"/>
  <c r="L32"/>
  <c r="L35" s="1"/>
  <c r="L37" s="1"/>
  <c r="T17" i="40112" l="1"/>
  <c r="L63" i="40113"/>
  <c r="L64" s="1"/>
</calcChain>
</file>

<file path=xl/comments1.xml><?xml version="1.0" encoding="utf-8"?>
<comments xmlns="http://schemas.openxmlformats.org/spreadsheetml/2006/main">
  <authors>
    <author>hkostoglou</author>
    <author>c.kostoglou</author>
  </authors>
  <commentList>
    <comment ref="A42" authorId="0">
      <text>
        <r>
          <rPr>
            <b/>
            <sz val="11"/>
            <color indexed="81"/>
            <rFont val="Tahoma"/>
            <family val="2"/>
          </rPr>
          <t>hkostoglou:</t>
        </r>
        <r>
          <rPr>
            <sz val="11"/>
            <color indexed="81"/>
            <rFont val="Tahoma"/>
            <family val="2"/>
          </rPr>
          <t xml:space="preserve">
chqed with BA II Plus</t>
        </r>
      </text>
    </comment>
    <comment ref="C69" authorId="1">
      <text>
        <r>
          <rPr>
            <b/>
            <sz val="9"/>
            <color indexed="81"/>
            <rFont val="Tahoma"/>
            <family val="2"/>
            <charset val="161"/>
          </rPr>
          <t>c.kostoglou:</t>
        </r>
        <r>
          <rPr>
            <sz val="9"/>
            <color indexed="81"/>
            <rFont val="Tahoma"/>
            <family val="2"/>
            <charset val="161"/>
          </rPr>
          <t xml:space="preserve">
7ο έτος</t>
        </r>
      </text>
    </comment>
    <comment ref="E73" authorId="1">
      <text>
        <r>
          <rPr>
            <b/>
            <sz val="9"/>
            <color indexed="81"/>
            <rFont val="Tahoma"/>
            <family val="2"/>
            <charset val="161"/>
          </rPr>
          <t>c.kostoglou:</t>
        </r>
        <r>
          <rPr>
            <sz val="9"/>
            <color indexed="81"/>
            <rFont val="Tahoma"/>
            <family val="2"/>
            <charset val="161"/>
          </rPr>
          <t xml:space="preserve">
€ 56/ανά ημερα
</t>
        </r>
      </text>
    </comment>
    <comment ref="C74" authorId="1">
      <text>
        <r>
          <rPr>
            <b/>
            <sz val="9"/>
            <color indexed="81"/>
            <rFont val="Tahoma"/>
            <family val="2"/>
            <charset val="161"/>
          </rPr>
          <t>c.kostoglou:</t>
        </r>
        <r>
          <rPr>
            <sz val="9"/>
            <color indexed="81"/>
            <rFont val="Tahoma"/>
            <family val="2"/>
            <charset val="161"/>
          </rPr>
          <t xml:space="preserve">
7ο έτος</t>
        </r>
      </text>
    </comment>
    <comment ref="E78" authorId="1">
      <text>
        <r>
          <rPr>
            <b/>
            <sz val="9"/>
            <color indexed="81"/>
            <rFont val="Tahoma"/>
            <family val="2"/>
            <charset val="161"/>
          </rPr>
          <t>c.kostoglou:</t>
        </r>
        <r>
          <rPr>
            <sz val="9"/>
            <color indexed="81"/>
            <rFont val="Tahoma"/>
            <family val="2"/>
            <charset val="161"/>
          </rPr>
          <t xml:space="preserve">
€ 56/ανά ημερα
</t>
        </r>
      </text>
    </comment>
  </commentList>
</comments>
</file>

<file path=xl/sharedStrings.xml><?xml version="1.0" encoding="utf-8"?>
<sst xmlns="http://schemas.openxmlformats.org/spreadsheetml/2006/main" count="443" uniqueCount="271">
  <si>
    <t>Μισθοί προσωπικού παραγωγής</t>
  </si>
  <si>
    <t xml:space="preserve"> 2002 as is now</t>
  </si>
  <si>
    <t xml:space="preserve">Ποσά σε € </t>
  </si>
  <si>
    <t>2003</t>
  </si>
  <si>
    <t>2004</t>
  </si>
  <si>
    <t>2005</t>
  </si>
  <si>
    <t>2006</t>
  </si>
  <si>
    <t>2007</t>
  </si>
  <si>
    <t>2008</t>
  </si>
  <si>
    <t>(ποσά σε €)</t>
  </si>
  <si>
    <t>Έσοδα από εμπορία προϊόντων</t>
  </si>
  <si>
    <t>Συνολικά Έσοδα από εμπορία προϊόντων (Β)</t>
  </si>
  <si>
    <t>Συνολικά Έσοδα από Πωλήσεις (Α+Β):</t>
  </si>
  <si>
    <r>
      <t>Μείον</t>
    </r>
    <r>
      <rPr>
        <sz val="10"/>
        <rFont val="Times New Roman Greek"/>
        <family val="1"/>
        <charset val="161"/>
      </rPr>
      <t>: Κόστος Πωληθέντων</t>
    </r>
  </si>
  <si>
    <t>ως % του Συνόλου Εξόδων Διοίκησης και Διάθεσης</t>
  </si>
  <si>
    <t>Έξοδα  Λειτουργίας Διαθέσεως</t>
  </si>
  <si>
    <t>Έξοδα Διοικητικής Λειτουργίας</t>
  </si>
  <si>
    <t>Επιχορήγηση</t>
  </si>
  <si>
    <t>Αποπληρωμή Κεφαλαίου</t>
  </si>
  <si>
    <t>Μείον: Αποπληρωμή υπό ρύθμιση
υφιστάμενου δανεισμού</t>
  </si>
  <si>
    <t>Περίοδος παραγγελίας μηχανημάτων</t>
  </si>
  <si>
    <t>Ι. Αποτελέσματα Εκμεταλλεύσεως</t>
  </si>
  <si>
    <t>Κύκλος Εργασιών (Πωλήσεις)</t>
  </si>
  <si>
    <t>Ολικά Αποτελέσματα (Κέρδη ή Ζημιές) Εκμεταλέυσεως</t>
  </si>
  <si>
    <t xml:space="preserve">Πλέον:  </t>
  </si>
  <si>
    <t xml:space="preserve">Οργανικά &amp; Έκτακτα Αποτελέσματα  (Κέρδη ή Ζημιές) </t>
  </si>
  <si>
    <t>Σύνολο Αποσβέσεων Παγίων Στοιχείων</t>
  </si>
  <si>
    <t>ως % του κύκλου εργασιών</t>
  </si>
  <si>
    <t>Σύνολο:</t>
  </si>
  <si>
    <t xml:space="preserve">Μείον: </t>
  </si>
  <si>
    <t xml:space="preserve">                 </t>
  </si>
  <si>
    <t xml:space="preserve">                </t>
  </si>
  <si>
    <t>Πλέον:</t>
  </si>
  <si>
    <t xml:space="preserve">1. Έσοδα Συμμετοχών </t>
  </si>
  <si>
    <t>2. Έσοδα Χρεογράφων</t>
  </si>
  <si>
    <t>3. Κέρδη Πωλήσεως συμμετοχών &amp; χρεογράφων</t>
  </si>
  <si>
    <t>4. Πιστωτικοί Τόκοι &amp; συναφή  Έσοδα</t>
  </si>
  <si>
    <t>Μείον:</t>
  </si>
  <si>
    <t>1.  Προβλέψεις Υποτιμήσεως Συμμετοχών</t>
  </si>
  <si>
    <t>2.  Έξοδα &amp; Ζημίες συμμετοχών &amp; χρεογράφων</t>
  </si>
  <si>
    <t xml:space="preserve">3.  Χρεωστικοί Τόκοι &amp; συναφή  Έξοδα </t>
  </si>
  <si>
    <t>ΙΙ. Έκτακτα Αποτελέσματα</t>
  </si>
  <si>
    <t>1.  Έκτακτα &amp; Ανόργανα Έσοδα</t>
  </si>
  <si>
    <t>2.  Έκτακτα Κέρδη</t>
  </si>
  <si>
    <t>3.  Έσοδα Προηγούμενων Χρήσεων</t>
  </si>
  <si>
    <t>4.  Έσοδα από Προβλέψεις προηγούμενων χρήσεων</t>
  </si>
  <si>
    <t>1.  Έκτακτα &amp; Ανόργανα Έξοδα</t>
  </si>
  <si>
    <t>2.  Έκτακτες Ζημίες</t>
  </si>
  <si>
    <t>3.  Έξοδα Προηγούμενων Χρήσεων</t>
  </si>
  <si>
    <t>4.  Προβλέψεις για Έκτακτους Κινδύνους</t>
  </si>
  <si>
    <t>Καθαρά Αποτελέσματα (κέρδη ή ζημιές) χρήσεως</t>
  </si>
  <si>
    <t>1. Φόρος Εισοδήματος</t>
  </si>
  <si>
    <t>2. Λοιποί μη ενσωματωμένοι στο Λειτουργικό κόστος φόροι</t>
  </si>
  <si>
    <t>Κέρδη προς Διάθεση</t>
  </si>
  <si>
    <t>1.   Τακτικό Αποθεματικό</t>
  </si>
  <si>
    <t>2.   Πρώτο Μέρισμα</t>
  </si>
  <si>
    <t>2α. Αποθεματικό για ίδιες μετοχές</t>
  </si>
  <si>
    <t xml:space="preserve">3.   Πρόσθετο Μέρισμα </t>
  </si>
  <si>
    <t>4.   Αποθεματικά Καταστατικού</t>
  </si>
  <si>
    <t>5.   Ειδικά και έκτακτα αποθεματικά</t>
  </si>
  <si>
    <t>6.   Αφορολόγητα αποθεματικά</t>
  </si>
  <si>
    <t>6α. Αποθεματικά από απαλλασσόμενα της φορολογίας έσοδα</t>
  </si>
  <si>
    <t xml:space="preserve">6β. Αποθεματικά από έσοδα φορολογηθέντα κατ' ειδικό τρόπο   </t>
  </si>
  <si>
    <t>6γ. Αποθεματικά από κέρδη τεχνικών και οικοδομικών επιχειρήσεων</t>
  </si>
  <si>
    <t>7.   Αμοιβές από ποσοστά μελών διοικητικού συμβουλίου</t>
  </si>
  <si>
    <t>8.  Υπόλοιπο Κερδών εις νέο</t>
  </si>
  <si>
    <t>Διάθεση Κερδών</t>
  </si>
  <si>
    <t>Διαφορές φορολογικού ελέγχου προηγουμένων χρήσεων</t>
  </si>
  <si>
    <t>Αποθεματικά προς διάθεση</t>
  </si>
  <si>
    <t>Καθαρά Κέρδη ή ζημίες Χρήσεως προ Φόρων</t>
  </si>
  <si>
    <t>Συνολική Δόση</t>
  </si>
  <si>
    <t>Υπόλοιπο Δανεισμού</t>
  </si>
  <si>
    <t>Υπόγειοι Χώροι Στάθμευσης</t>
  </si>
  <si>
    <t>Κόστος Κατεδάφισης</t>
  </si>
  <si>
    <t>Μερικό Σύνολο</t>
  </si>
  <si>
    <t>Απρόβλεπτα Έξοδα</t>
  </si>
  <si>
    <t>Κόστος Κατασκευής</t>
  </si>
  <si>
    <t>Μελέτες - Άδειες</t>
  </si>
  <si>
    <t>Management Fee</t>
  </si>
  <si>
    <t>Construction Fee</t>
  </si>
  <si>
    <t>Συνολικό Κόστος Έργου</t>
  </si>
  <si>
    <t>Εμβαδόν</t>
  </si>
  <si>
    <t>Συνολικό Κόστος Κατασκευής:</t>
  </si>
  <si>
    <t>ως % του Συνολικού Κόστους Κατασκευής</t>
  </si>
  <si>
    <t>Σύνολο Επένδυσης</t>
  </si>
  <si>
    <t>Κόστος/τ.μ.</t>
  </si>
  <si>
    <t>Κατηγορία Κόστους</t>
  </si>
  <si>
    <t>Έτος 1</t>
  </si>
  <si>
    <t>Έτος 2</t>
  </si>
  <si>
    <t>Έτος 3</t>
  </si>
  <si>
    <t>Έτος 4</t>
  </si>
  <si>
    <t>Έτος 5</t>
  </si>
  <si>
    <t>% ετήσια μεταβολή</t>
  </si>
  <si>
    <t>Ετήσιο Επιτόκιο Δανεισμού:</t>
  </si>
  <si>
    <t>Δόσεις/ Έτος:</t>
  </si>
  <si>
    <t>Έτη</t>
  </si>
  <si>
    <t>Περίοδος Χάριτος (έτη):</t>
  </si>
  <si>
    <t>Συνολικές Δόσεις:</t>
  </si>
  <si>
    <t>ως % επί των κερδών προ φόρων</t>
  </si>
  <si>
    <t>ως % επί των κερδών μετά φόρων</t>
  </si>
  <si>
    <t>ως % επί των κερδών προς διάθεση μετά αποθεματικών &amp; αμοιβών ΔΣ</t>
  </si>
  <si>
    <t>Αποσβέσεις</t>
  </si>
  <si>
    <t>(ποσά σε € χιλ.)</t>
  </si>
  <si>
    <t>Tax Shield</t>
  </si>
  <si>
    <t>Επιτόκιο Καταθέσεων</t>
  </si>
  <si>
    <t>Κεφάλαιο Κίνησης</t>
  </si>
  <si>
    <t>Νέο Κεφάλαιο (€ χιλ.) (1/1/έτους):</t>
  </si>
  <si>
    <t>Κέρδη Προ Φόρων, Τόκων &amp; Αποσβέσεων (EBITDA)</t>
  </si>
  <si>
    <t>EBITDA</t>
  </si>
  <si>
    <t>Περιβάλλον Χώρος</t>
  </si>
  <si>
    <t>Πίνακας Υπολογισμού Ετήσιων Αυξήσεων</t>
  </si>
  <si>
    <t>Ετήσιος Πληθωρισμός</t>
  </si>
  <si>
    <t>Επιπλέον Αύξηση</t>
  </si>
  <si>
    <t>Συνολική Αύξηση</t>
  </si>
  <si>
    <t>Πληρωμή Τόκων</t>
  </si>
  <si>
    <r>
      <t>Πλέον:</t>
    </r>
    <r>
      <rPr>
        <sz val="10"/>
        <rFont val="Times New Roman Greek"/>
        <family val="1"/>
        <charset val="161"/>
      </rPr>
      <t xml:space="preserve"> Άλλα έσοδα εκμετάλλευσης</t>
    </r>
  </si>
  <si>
    <t>ΠΙΝΑΚΑΣ 1: ΚΑΤΑΣΤΑΣΗ ΤΑΜΕΙΑΚΩΝ ΡΟΩΝ</t>
  </si>
  <si>
    <t>ΠΙΝΑΚΑΣ 2: ΚΑΤΑΣΤΑΣΗ ΑΠΟΤΕΛΕΣΜΑΤΩΝ ΧΡΗΣΕΩΣ</t>
  </si>
  <si>
    <t>ως % του Μερικού Κόστους Κατασκευής</t>
  </si>
  <si>
    <t>Ίδια Συμμετοχή</t>
  </si>
  <si>
    <t>Κέρδη μετά φόρων</t>
  </si>
  <si>
    <t>net Profit margin</t>
  </si>
  <si>
    <t>Πηγές Χρηματοδότησης</t>
  </si>
  <si>
    <t>Ποσοστό</t>
  </si>
  <si>
    <t xml:space="preserve">Σύνολο Επένδυσης </t>
  </si>
  <si>
    <t>Δανειακά Κεφάλαια</t>
  </si>
  <si>
    <t>% αύξηση των εσόδων</t>
  </si>
  <si>
    <t>Έτος -1</t>
  </si>
  <si>
    <t>Έτος 0</t>
  </si>
  <si>
    <t>pmt</t>
  </si>
  <si>
    <t>principal</t>
  </si>
  <si>
    <t>interest</t>
  </si>
  <si>
    <t>Eξάμηνα</t>
  </si>
  <si>
    <t>chq δόση</t>
  </si>
  <si>
    <t>chq αποπληρωμής LT δανεισμού</t>
  </si>
  <si>
    <t>compounded final</t>
  </si>
  <si>
    <t>Ταμειακές Ροές από Λειτουργικές Δραστηριότητες</t>
  </si>
  <si>
    <t>Κέρδη προ Φόρων και Τόκων</t>
  </si>
  <si>
    <t>Πλέον: Αποσβέσεις</t>
  </si>
  <si>
    <t>Μείον: Φόρος Εισοδήματος</t>
  </si>
  <si>
    <t>Ακαθάριστες Ταμειακές Ροές</t>
  </si>
  <si>
    <t>Μεταβολή Κεφαλαίου Κίνησης</t>
  </si>
  <si>
    <t xml:space="preserve">    % Mεταβολή     </t>
  </si>
  <si>
    <t>Ταμειακές Ροές από Επενδύσεις</t>
  </si>
  <si>
    <t>Μεταβολή Παγίου Ενεργητικού</t>
  </si>
  <si>
    <t>Ταμειακές Ροές από Χρηματοδότηση</t>
  </si>
  <si>
    <t>Εισφορά Μετοχικού Κεφαλαίου</t>
  </si>
  <si>
    <t>Επιχορηγήσεις</t>
  </si>
  <si>
    <t>Βραχυπρόθεσμες Τραπεζικές Χρηματοδοτήσεις</t>
  </si>
  <si>
    <t>Μακροπρόθεσμες Τραπεζικές Χρηματοδοτήσεις</t>
  </si>
  <si>
    <t>Πιστωτικοί Τόκοι</t>
  </si>
  <si>
    <t>ΜΕΤΑΒΟΛΗ ΤΑΜΕΙΟΥ ΚΑΙ ΛΟΙΠΩΝ ΔΙΑΘΕΣΙΜΩΝ</t>
  </si>
  <si>
    <t>Ρευστά Διαθέσιμα που αφορούν την συγκεκριμένη χρήση</t>
  </si>
  <si>
    <t>Ταμείο Αρχής Περιόδου</t>
  </si>
  <si>
    <t>Αθροιστικά Ρευστά Διαθέσιμα</t>
  </si>
  <si>
    <t>Προεξοφλητικό Επιτόκιο</t>
  </si>
  <si>
    <t>Καθαρή Παρούσα Αξία Επένδυσης
Net Present Value (NPV)</t>
  </si>
  <si>
    <t>Πηγές Κεφαλαίων</t>
  </si>
  <si>
    <t xml:space="preserve">Κέρδη προ Φόρων &amp; Τόκων </t>
  </si>
  <si>
    <t>ΣΥΝΟΛΟ</t>
  </si>
  <si>
    <t>Χρήσεις Κεφαλαίων</t>
  </si>
  <si>
    <t>Νέες Επενδύσεις Παγίου Ενεργητικού</t>
  </si>
  <si>
    <t>Φόρος Εισοδήματος</t>
  </si>
  <si>
    <t>Αύξηση Κεφαλαίου Κίνησης</t>
  </si>
  <si>
    <t>Μερίσματα</t>
  </si>
  <si>
    <t xml:space="preserve">Τόκοι Δανείων μετά τον υπολογισμό της επιδότησης </t>
  </si>
  <si>
    <t>Χρεωλύσια Δανείων</t>
  </si>
  <si>
    <t xml:space="preserve">Μεταβολή ταμείου &amp; Λοιπών Διαθέσιμων </t>
  </si>
  <si>
    <t>έτη</t>
  </si>
  <si>
    <t>μήνες</t>
  </si>
  <si>
    <t>Κέρδη προ Φόρων και τόκων</t>
  </si>
  <si>
    <t>Chq Κέρδη προ Φόρων και τόκων</t>
  </si>
  <si>
    <t>Μερικά Αποτελέσματα (Κέρδη ή Ζημιές) Εκμεταλλεύσεως</t>
  </si>
  <si>
    <t>Μικτά Αποτελέσματα (Κέρδη ή Ζημιές) Εκμεταλλεύσεως</t>
  </si>
  <si>
    <t>Υπόλοιπο κερδών ή ζημιών προηγουμένων χρήσεων</t>
  </si>
  <si>
    <t>Χώροι Καταστημάτων προς Κατασκευή</t>
  </si>
  <si>
    <t>Υπόλοιπο Κεφαλαίου</t>
  </si>
  <si>
    <t xml:space="preserve">Ίδια Συμμετοχή </t>
  </si>
  <si>
    <t>Εσωτερικός Βαθμός Απόδοσης 
Internal Rate of Return (IRR)</t>
  </si>
  <si>
    <t xml:space="preserve">Περίοδος Επανείσπραξης Επένδυσης βάσει των Καθαρών Λειτουργικών Ταμειακών Ροών </t>
  </si>
  <si>
    <t xml:space="preserve"> 7,58 έτη</t>
  </si>
  <si>
    <t>ROIC</t>
  </si>
  <si>
    <t>chq taxes</t>
  </si>
  <si>
    <t>ως % επί του συνολικού 
Kύκλου Eργασιών</t>
  </si>
  <si>
    <t>Μακροπρόθεσμες Τραπεζικές Χρηματοδοτήσεις (Επενδυτικό Δάνειο)</t>
  </si>
  <si>
    <t>Μείον: Αποπληρωμή Μακρ. Τραπεζικού Δανεισμού (Επενδυτικού Δανείου)</t>
  </si>
  <si>
    <t>Μέρες εργασίας temp ps</t>
  </si>
  <si>
    <t>Αριθμός temp ps</t>
  </si>
  <si>
    <t>Ημερομήσθιο temp ps</t>
  </si>
  <si>
    <t>Ετήσιο κόστος μισθοδοσίας</t>
  </si>
  <si>
    <t>Νέο προσωπικό</t>
  </si>
  <si>
    <t>ΠΙΝΑΚΑΣ 6: ΠΡΟΫΠΟΛΟΓΙΣΜΟΣ &amp; 
ΠΗΓΕΣ ΧΡΗΜΑΤΟΔΟΤΗΣΗΣ ΕΠΕΝΔΥΣΗΣ</t>
  </si>
  <si>
    <t>ΠΙΝΑΚΑΣ 4: ΚΟΣΤΟΣ ΠΩΛΗΘΕΝΤΩΝ</t>
  </si>
  <si>
    <t>ΠΙΝΑΚΑΣ 5: ΤΡΑΠΕΖΙΚΕΣ ΥΠΟΧΡΕΩΣΕΙΣ</t>
  </si>
  <si>
    <r>
      <t>Μείον</t>
    </r>
    <r>
      <rPr>
        <sz val="10"/>
        <rFont val="Times New Roman Greek"/>
        <family val="1"/>
        <charset val="161"/>
      </rPr>
      <t>: Οι απο αυτές ενσωματωμένες στο λειτουργικό κόστος</t>
    </r>
  </si>
  <si>
    <t xml:space="preserve">ΠΙΝΑΚΑΣ 3: ΠΑΡΑΔΟΧΕΣ ΕΣΟΔΩΝ </t>
  </si>
  <si>
    <t>2009</t>
  </si>
  <si>
    <t>2010</t>
  </si>
  <si>
    <t>2011</t>
  </si>
  <si>
    <t>2012</t>
  </si>
  <si>
    <t>Έτος 6</t>
  </si>
  <si>
    <t>Έτος 7</t>
  </si>
  <si>
    <t>Έτος 8</t>
  </si>
  <si>
    <t>Έτος 9</t>
  </si>
  <si>
    <t>Έτος 10</t>
  </si>
  <si>
    <t>% επί των συνολικών εσόδων από πωλήσεις</t>
  </si>
  <si>
    <t>Είδη Διατροφής - Ποτά</t>
  </si>
  <si>
    <t>ως % του Συνολικού Κόστους</t>
  </si>
  <si>
    <t>ΠΕΡΙΟΔΟΣ ΛΕΙΤΟΥΡΓΙΑΣ  
ΜΕΤΑ ΤΗ ΡΥΘΜΙΣΗ</t>
  </si>
  <si>
    <t>Κόστος Αγορών</t>
  </si>
  <si>
    <t>ως % των συνολικών εσόδων από εμπορία προϊόντων</t>
  </si>
  <si>
    <t>ΠΙΝΑΚΑΣ 4: ΕΞΟΔΑ ΛΕΙΤΟΥΡΓΙΑΣ</t>
  </si>
  <si>
    <t>Αμοιβες Προσωπικού</t>
  </si>
  <si>
    <t>ως % των Συνολικών Δαπανών</t>
  </si>
  <si>
    <t>Αμοιβές &amp; Έξοδα Τρίτων</t>
  </si>
  <si>
    <t>Ιδιόχρηση Ακινήτων</t>
  </si>
  <si>
    <t>Αποσβέσεις παγίων</t>
  </si>
  <si>
    <t>Συνολικές Δαπάνες</t>
  </si>
  <si>
    <t>ως % των συνολικών εσόδων από παροχή υπηρεσιών</t>
  </si>
  <si>
    <t>Έσοδα Ξενοδοχείου</t>
  </si>
  <si>
    <t>Επιδότηση</t>
  </si>
  <si>
    <t>Πληρωμή Τόκων (εταιρική δαπάνη αποπληρωμής τόκων)</t>
  </si>
  <si>
    <t>% αύξηση</t>
  </si>
  <si>
    <t>% Αύξηση</t>
  </si>
  <si>
    <t>Συνολικά Έσοδα από παροχή υπηρεσιών (A)</t>
  </si>
  <si>
    <t>Μείον: Χρεωστικοί Τόκοι</t>
  </si>
  <si>
    <t>Μείον: Μερίσματα / Επιχειρηματική Αμοιβή</t>
  </si>
  <si>
    <t>Πληρωμή Τόκων (κρατική επιδότηση επιτοκίου κατά 30%)</t>
  </si>
  <si>
    <t>Πλέον: Κρατική Επιδότηση επιτοκίου κατά 30%</t>
  </si>
  <si>
    <t>ΚΑΘΑΡΕΣ ΛΕΙΤΟΥΡΓΙΚΕΣ 
ΤΑΜΕΙΑΚΕΣ ΡΟΕΣ</t>
  </si>
  <si>
    <t>ΚΑΘΑΡΕΣ ΤΑΜΕΙΑΚΕΣ ΡΟΕΣ 
ΑΠΟ ΕΠΕΝΔΥΣΕΙΣ</t>
  </si>
  <si>
    <t>ΚΑΘΑΡΕΣ ΤΑΜΕΙΑΚΕΣ ΡΟΕΣ 
ΑΠΟ ΧΡΗΜΑΤΟΔΟΤΗΣΗ</t>
  </si>
  <si>
    <t>Συνολικές Δαπάνες Εμπορίας</t>
  </si>
  <si>
    <t>ΛΕΙΤΟΥΡΓΙΚΑ ΕΞΟΔΑ ΕΜΠΟΡΙΑΣ</t>
  </si>
  <si>
    <t>ΛΕΙΤΟΥΡΓΙΚΑ ΕΞΟΔΑ ΠΑΡΟΧΗΣ ΥΠΗΡΕΣΙΩΝ</t>
  </si>
  <si>
    <t>Συνολικές Δαπάνες Παροχής Υπηρεσιών</t>
  </si>
  <si>
    <r>
      <t xml:space="preserve">Σύνολο Δανεισμού προς ρύθμιση  
</t>
    </r>
    <r>
      <rPr>
        <b/>
        <i/>
        <sz val="10"/>
        <color indexed="9"/>
        <rFont val="Times New Roman Greek"/>
        <family val="1"/>
        <charset val="161"/>
      </rPr>
      <t>(ποσά σε €)</t>
    </r>
  </si>
  <si>
    <t>Σύνολο Λειτουργικών Εξόδων</t>
  </si>
  <si>
    <t>Πωλήσεις Εστιατορίου - Καφετέριας</t>
  </si>
  <si>
    <t>Έσοδα από παροχής υπηρεσιών</t>
  </si>
  <si>
    <t>2001</t>
  </si>
  <si>
    <t>2002</t>
  </si>
  <si>
    <t>2017</t>
  </si>
  <si>
    <t>2019</t>
  </si>
  <si>
    <t>2020</t>
  </si>
  <si>
    <t>2021</t>
  </si>
  <si>
    <t>2022</t>
  </si>
  <si>
    <t>2023</t>
  </si>
  <si>
    <t>2024</t>
  </si>
  <si>
    <t>2025</t>
  </si>
  <si>
    <t>2026</t>
  </si>
  <si>
    <t>2018</t>
  </si>
  <si>
    <t>CAGR ΕΤΡ</t>
  </si>
  <si>
    <t>ΕΛΕΥΘΕΡΕΣ ΤΑΜΕΙΑΚΕΣ ΡΟΕΣ</t>
  </si>
  <si>
    <t>CAGR ΛΤΡ</t>
  </si>
  <si>
    <t>ETP</t>
  </si>
  <si>
    <t>Διαφορά ΕΤΡ - ΕΒΙΤDA</t>
  </si>
  <si>
    <t>Υπολογισμός Περίοδου Αποπληρωμής βάσει ΕΤΡ (payback period)</t>
  </si>
  <si>
    <t>8ο ετος</t>
  </si>
  <si>
    <t>chq payback</t>
  </si>
  <si>
    <t>1μηνας</t>
  </si>
  <si>
    <t>2μηνες</t>
  </si>
  <si>
    <t>3μηνες</t>
  </si>
  <si>
    <t>7ημερες</t>
  </si>
  <si>
    <t>συνολο ημερων</t>
  </si>
  <si>
    <t>σε ετησια βαση</t>
  </si>
  <si>
    <t>Υπολογισμός Περίοδου Αποπληρωμής βάσει ΕBITDA (payback period)</t>
  </si>
  <si>
    <t>5ο ετος</t>
  </si>
  <si>
    <t>8ημερες</t>
  </si>
  <si>
    <t>ΕΤΡ</t>
  </si>
  <si>
    <t>2027</t>
  </si>
</sst>
</file>

<file path=xl/styles.xml><?xml version="1.0" encoding="utf-8"?>
<styleSheet xmlns="http://schemas.openxmlformats.org/spreadsheetml/2006/main">
  <numFmts count="23">
    <numFmt numFmtId="164" formatCode="_-* #,##0\ &quot;Δρχ&quot;_-;\-* #,##0\ &quot;Δρχ&quot;_-;_-* &quot;-&quot;\ &quot;Δρχ&quot;_-;_-@_-"/>
    <numFmt numFmtId="165" formatCode="_-* #,##0.00\ &quot;Δρχ&quot;_-;\-* #,##0.00\ &quot;Δρχ&quot;_-;_-* &quot;-&quot;??\ &quot;Δρχ&quot;_-;_-@_-"/>
    <numFmt numFmtId="166" formatCode="_-* #,##0.00\ _Δ_ρ_χ_-;\-* #,##0.00\ _Δ_ρ_χ_-;_-* &quot;-&quot;??\ _Δ_ρ_χ_-;_-@_-"/>
    <numFmt numFmtId="167" formatCode="&quot;$&quot;#,##0_);\(&quot;$&quot;#,##0\)"/>
    <numFmt numFmtId="168" formatCode="0.0"/>
    <numFmt numFmtId="169" formatCode="#,##0.0"/>
    <numFmt numFmtId="170" formatCode="0.0%"/>
    <numFmt numFmtId="171" formatCode="#,##0.000"/>
    <numFmt numFmtId="172" formatCode="0.00_)"/>
    <numFmt numFmtId="173" formatCode="_-* #,##0.0\ _Δ_ρ_χ_-;\-* #,##0.0\ _Δ_ρ_χ_-;_-* &quot;-&quot;??\ _Δ_ρ_χ_-;_-@_-"/>
    <numFmt numFmtId="174" formatCode="0.00_);[Red]\(0.00\)"/>
    <numFmt numFmtId="175" formatCode="_-* #,##0\ _Δ_ρ_χ_-;\-* #,##0\ _Δ_ρ_χ_-;_-* &quot;-&quot;??\ _Δ_ρ_χ_-;_-@_-"/>
    <numFmt numFmtId="177" formatCode="_-* #,##0.000\ _Δ_ρ_χ_-;\-* #,##0.000\ _Δ_ρ_χ_-;_-* &quot;-&quot;??\ _Δ_ρ_χ_-;_-@_-"/>
    <numFmt numFmtId="178" formatCode="_-* #,##0_-;\-* #,##0_-;_-* &quot;-&quot;_-;_-@_-"/>
    <numFmt numFmtId="179" formatCode="_-* #,##0.00_-;\-* #,##0.00_-;_-* &quot;-&quot;??_-;_-@_-"/>
    <numFmt numFmtId="180" formatCode="_-&quot;£&quot;* #,##0_-;\-&quot;£&quot;* #,##0_-;_-&quot;£&quot;* &quot;-&quot;_-;_-@_-"/>
    <numFmt numFmtId="181" formatCode="_-&quot;£&quot;* #,##0.00_-;\-&quot;£&quot;* #,##0.00_-;_-&quot;£&quot;* &quot;-&quot;??_-;_-@_-"/>
    <numFmt numFmtId="182" formatCode="#,##0.00&quot; F&quot;_);[Red]\(#,##0.00&quot; F&quot;\)"/>
    <numFmt numFmtId="183" formatCode="#,##0&quot; F&quot;_);[Red]\(#,##0&quot; F&quot;\)"/>
    <numFmt numFmtId="184" formatCode="#,##0\ ;\(#,##0\)"/>
    <numFmt numFmtId="185" formatCode="0.0000%"/>
    <numFmt numFmtId="186" formatCode="[$€-2]\ #,##0;[Red]\-[$€-2]\ #,##0"/>
    <numFmt numFmtId="187" formatCode="#,##0.00000"/>
  </numFmts>
  <fonts count="56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MS Sans Serif"/>
      <family val="2"/>
      <charset val="161"/>
    </font>
    <font>
      <sz val="8"/>
      <name val="Arial"/>
      <family val="2"/>
    </font>
    <font>
      <sz val="10"/>
      <name val="Helv"/>
    </font>
    <font>
      <sz val="10"/>
      <name val="Times New Roman Greek"/>
      <charset val="161"/>
    </font>
    <font>
      <b/>
      <i/>
      <sz val="16"/>
      <name val="Helv"/>
    </font>
    <font>
      <sz val="10"/>
      <name val="Arial"/>
      <family val="2"/>
      <charset val="161"/>
    </font>
    <font>
      <sz val="10"/>
      <name val="MS Sans Serif"/>
      <family val="2"/>
      <charset val="161"/>
    </font>
    <font>
      <sz val="10"/>
      <name val="Times New Roman Greek"/>
      <family val="1"/>
      <charset val="161"/>
    </font>
    <font>
      <b/>
      <sz val="10"/>
      <color indexed="9"/>
      <name val="Times New Roman Greek"/>
      <family val="1"/>
      <charset val="161"/>
    </font>
    <font>
      <b/>
      <sz val="11"/>
      <name val="Times New Roman Greek"/>
      <family val="1"/>
      <charset val="161"/>
    </font>
    <font>
      <b/>
      <sz val="11"/>
      <color indexed="9"/>
      <name val="Times New Roman Greek"/>
      <family val="1"/>
      <charset val="161"/>
    </font>
    <font>
      <sz val="11"/>
      <name val="Times New Roman Greek"/>
      <family val="1"/>
      <charset val="161"/>
    </font>
    <font>
      <i/>
      <sz val="10"/>
      <name val="Times New Roman Greek"/>
      <family val="1"/>
      <charset val="161"/>
    </font>
    <font>
      <b/>
      <sz val="10"/>
      <name val="Times New Roman Greek"/>
      <family val="1"/>
      <charset val="161"/>
    </font>
    <font>
      <sz val="11"/>
      <color indexed="9"/>
      <name val="Times New Roman Greek"/>
      <family val="1"/>
      <charset val="161"/>
    </font>
    <font>
      <b/>
      <i/>
      <sz val="11"/>
      <color indexed="9"/>
      <name val="Times New Roman Greek"/>
      <family val="1"/>
      <charset val="161"/>
    </font>
    <font>
      <i/>
      <sz val="11"/>
      <name val="Times New Roman Greek"/>
      <family val="1"/>
      <charset val="161"/>
    </font>
    <font>
      <b/>
      <u/>
      <sz val="10"/>
      <name val="Times New Roman Greek"/>
      <family val="1"/>
      <charset val="161"/>
    </font>
    <font>
      <b/>
      <i/>
      <u/>
      <sz val="10"/>
      <name val="Times New Roman Greek"/>
      <family val="1"/>
      <charset val="161"/>
    </font>
    <font>
      <b/>
      <i/>
      <sz val="10"/>
      <name val="Times New Roman Greek"/>
      <family val="1"/>
      <charset val="161"/>
    </font>
    <font>
      <u/>
      <sz val="10"/>
      <name val="Times New Roman Greek"/>
      <family val="1"/>
      <charset val="161"/>
    </font>
    <font>
      <b/>
      <sz val="13"/>
      <color indexed="9"/>
      <name val="Times New Roman Greek"/>
      <family val="1"/>
      <charset val="161"/>
    </font>
    <font>
      <sz val="10"/>
      <color indexed="9"/>
      <name val="Times New Roman Greek"/>
      <family val="1"/>
      <charset val="161"/>
    </font>
    <font>
      <b/>
      <sz val="11"/>
      <color indexed="10"/>
      <name val="Times New Roman Greek"/>
      <family val="1"/>
      <charset val="161"/>
    </font>
    <font>
      <b/>
      <sz val="12"/>
      <color indexed="9"/>
      <name val="Times New Roman Greek"/>
      <family val="1"/>
      <charset val="161"/>
    </font>
    <font>
      <sz val="13"/>
      <color indexed="9"/>
      <name val="Times New Roman Greek"/>
      <family val="1"/>
      <charset val="161"/>
    </font>
    <font>
      <b/>
      <i/>
      <sz val="10"/>
      <color indexed="9"/>
      <name val="Times New Roman Greek"/>
      <family val="1"/>
      <charset val="161"/>
    </font>
    <font>
      <b/>
      <u/>
      <sz val="10"/>
      <color indexed="9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indexed="10"/>
      <name val="Times New Roman Greek"/>
      <family val="1"/>
      <charset val="161"/>
    </font>
    <font>
      <sz val="10"/>
      <color indexed="13"/>
      <name val="Times New Roman Greek"/>
      <family val="1"/>
      <charset val="161"/>
    </font>
    <font>
      <sz val="10"/>
      <color indexed="10"/>
      <name val="Arial Greek"/>
      <family val="2"/>
      <charset val="161"/>
    </font>
    <font>
      <b/>
      <sz val="11"/>
      <color indexed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color indexed="60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b/>
      <i/>
      <sz val="11"/>
      <color indexed="9"/>
      <name val="Times New Roman"/>
      <family val="1"/>
    </font>
    <font>
      <i/>
      <sz val="11"/>
      <name val="Times New Roman"/>
      <family val="1"/>
    </font>
    <font>
      <sz val="11"/>
      <color indexed="10"/>
      <name val="Times New Roman"/>
      <family val="1"/>
    </font>
    <font>
      <b/>
      <sz val="11"/>
      <color indexed="60"/>
      <name val="Times New Roman Greek"/>
      <family val="1"/>
      <charset val="161"/>
    </font>
    <font>
      <b/>
      <sz val="11"/>
      <color indexed="10"/>
      <name val="Times New Roman"/>
      <family val="1"/>
    </font>
    <font>
      <b/>
      <u/>
      <sz val="18"/>
      <name val="MS Sans Serif"/>
      <family val="2"/>
      <charset val="161"/>
    </font>
    <font>
      <sz val="10"/>
      <name val="HellasArial"/>
      <family val="2"/>
    </font>
    <font>
      <i/>
      <sz val="11"/>
      <color indexed="9"/>
      <name val="Times New Roman"/>
      <family val="1"/>
    </font>
    <font>
      <i/>
      <sz val="11"/>
      <color indexed="10"/>
      <name val="Times New Roman Greek"/>
      <family val="1"/>
      <charset val="161"/>
    </font>
    <font>
      <b/>
      <u/>
      <sz val="11"/>
      <name val="Times New Roman Greek"/>
      <family val="1"/>
      <charset val="161"/>
    </font>
    <font>
      <sz val="12"/>
      <color indexed="10"/>
      <name val="Times New Roman Greek"/>
      <family val="1"/>
      <charset val="161"/>
    </font>
    <font>
      <sz val="11"/>
      <color rgb="FFFF0000"/>
      <name val="Times New Roman"/>
      <family val="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167" fontId="2" fillId="0" borderId="1" applyAlignment="0" applyProtection="0"/>
    <xf numFmtId="166" fontId="1" fillId="0" borderId="0" applyFont="0" applyFill="0" applyBorder="0" applyAlignment="0" applyProtection="0"/>
    <xf numFmtId="38" fontId="3" fillId="2" borderId="0" applyNumberFormat="0" applyBorder="0" applyAlignment="0" applyProtection="0"/>
    <xf numFmtId="184" fontId="47" fillId="0" borderId="0" applyNumberFormat="0" applyFill="0" applyBorder="0" applyProtection="0"/>
    <xf numFmtId="10" fontId="3" fillId="3" borderId="2" applyNumberFormat="0" applyBorder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6" fillId="0" borderId="0"/>
    <xf numFmtId="0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1" fontId="48" fillId="4" borderId="3" applyNumberFormat="0" applyFill="0" applyBorder="0" applyAlignment="0">
      <alignment horizontal="center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</cellStyleXfs>
  <cellXfs count="484">
    <xf numFmtId="0" fontId="0" fillId="0" borderId="0" xfId="0"/>
    <xf numFmtId="0" fontId="1" fillId="0" borderId="0" xfId="16"/>
    <xf numFmtId="169" fontId="1" fillId="0" borderId="0" xfId="16" applyNumberFormat="1"/>
    <xf numFmtId="0" fontId="9" fillId="0" borderId="0" xfId="0" applyFont="1"/>
    <xf numFmtId="0" fontId="10" fillId="5" borderId="4" xfId="0" applyFont="1" applyFill="1" applyBorder="1"/>
    <xf numFmtId="169" fontId="10" fillId="5" borderId="4" xfId="0" applyNumberFormat="1" applyFont="1" applyFill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9" fontId="9" fillId="0" borderId="0" xfId="0" applyNumberFormat="1" applyFont="1"/>
    <xf numFmtId="170" fontId="14" fillId="0" borderId="0" xfId="18" applyNumberFormat="1" applyFo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Border="1"/>
    <xf numFmtId="0" fontId="12" fillId="5" borderId="4" xfId="0" applyFont="1" applyFill="1" applyBorder="1"/>
    <xf numFmtId="0" fontId="16" fillId="5" borderId="4" xfId="0" applyFont="1" applyFill="1" applyBorder="1"/>
    <xf numFmtId="0" fontId="18" fillId="0" borderId="0" xfId="0" applyFont="1"/>
    <xf numFmtId="169" fontId="13" fillId="0" borderId="0" xfId="0" applyNumberFormat="1" applyFont="1"/>
    <xf numFmtId="170" fontId="18" fillId="0" borderId="0" xfId="18" applyNumberFormat="1" applyFont="1"/>
    <xf numFmtId="0" fontId="15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/>
    <xf numFmtId="0" fontId="14" fillId="0" borderId="0" xfId="0" applyFont="1" applyBorder="1"/>
    <xf numFmtId="0" fontId="14" fillId="0" borderId="0" xfId="0" applyFont="1" applyFill="1" applyBorder="1" applyAlignment="1"/>
    <xf numFmtId="169" fontId="14" fillId="0" borderId="0" xfId="0" applyNumberFormat="1" applyFo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9" fillId="0" borderId="0" xfId="0" applyFont="1" applyBorder="1" applyAlignment="1"/>
    <xf numFmtId="0" fontId="15" fillId="0" borderId="0" xfId="0" applyFont="1" applyBorder="1" applyAlignment="1"/>
    <xf numFmtId="170" fontId="9" fillId="0" borderId="0" xfId="18" applyNumberFormat="1" applyFont="1"/>
    <xf numFmtId="0" fontId="10" fillId="5" borderId="4" xfId="0" applyFont="1" applyFill="1" applyBorder="1" applyAlignment="1"/>
    <xf numFmtId="0" fontId="15" fillId="0" borderId="0" xfId="0" applyFont="1" applyBorder="1"/>
    <xf numFmtId="0" fontId="15" fillId="0" borderId="4" xfId="0" applyFont="1" applyFill="1" applyBorder="1" applyAlignment="1"/>
    <xf numFmtId="0" fontId="15" fillId="0" borderId="4" xfId="0" applyFont="1" applyFill="1" applyBorder="1"/>
    <xf numFmtId="0" fontId="15" fillId="0" borderId="4" xfId="0" applyFont="1" applyBorder="1"/>
    <xf numFmtId="169" fontId="15" fillId="0" borderId="4" xfId="0" applyNumberFormat="1" applyFont="1" applyBorder="1"/>
    <xf numFmtId="0" fontId="15" fillId="0" borderId="0" xfId="0" applyFont="1" applyFill="1" applyBorder="1"/>
    <xf numFmtId="169" fontId="15" fillId="0" borderId="0" xfId="0" applyNumberFormat="1" applyFont="1" applyBorder="1"/>
    <xf numFmtId="0" fontId="9" fillId="0" borderId="4" xfId="0" applyFont="1" applyBorder="1"/>
    <xf numFmtId="0" fontId="9" fillId="0" borderId="4" xfId="0" applyFont="1" applyFill="1" applyBorder="1"/>
    <xf numFmtId="0" fontId="14" fillId="0" borderId="0" xfId="0" applyFont="1" applyFill="1" applyBorder="1"/>
    <xf numFmtId="0" fontId="9" fillId="0" borderId="5" xfId="0" applyFont="1" applyBorder="1"/>
    <xf numFmtId="0" fontId="9" fillId="0" borderId="5" xfId="0" applyFont="1" applyFill="1" applyBorder="1" applyAlignment="1"/>
    <xf numFmtId="0" fontId="9" fillId="0" borderId="5" xfId="0" applyFont="1" applyFill="1" applyBorder="1"/>
    <xf numFmtId="169" fontId="9" fillId="0" borderId="5" xfId="0" applyNumberFormat="1" applyFont="1" applyBorder="1"/>
    <xf numFmtId="0" fontId="24" fillId="5" borderId="4" xfId="0" applyFont="1" applyFill="1" applyBorder="1"/>
    <xf numFmtId="0" fontId="13" fillId="0" borderId="0" xfId="0" applyFont="1" applyAlignment="1">
      <alignment horizontal="center"/>
    </xf>
    <xf numFmtId="0" fontId="16" fillId="0" borderId="0" xfId="0" applyFont="1" applyFill="1" applyBorder="1"/>
    <xf numFmtId="0" fontId="9" fillId="0" borderId="0" xfId="0" applyFont="1" applyFill="1"/>
    <xf numFmtId="0" fontId="24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9" fillId="0" borderId="0" xfId="0" applyNumberFormat="1" applyFont="1"/>
    <xf numFmtId="3" fontId="24" fillId="5" borderId="4" xfId="0" applyNumberFormat="1" applyFont="1" applyFill="1" applyBorder="1"/>
    <xf numFmtId="3" fontId="9" fillId="0" borderId="0" xfId="0" applyNumberFormat="1" applyFont="1" applyBorder="1"/>
    <xf numFmtId="0" fontId="9" fillId="0" borderId="1" xfId="0" applyFont="1" applyBorder="1"/>
    <xf numFmtId="0" fontId="9" fillId="0" borderId="6" xfId="0" applyFont="1" applyBorder="1"/>
    <xf numFmtId="169" fontId="1" fillId="0" borderId="0" xfId="16" applyNumberFormat="1" applyFill="1"/>
    <xf numFmtId="170" fontId="14" fillId="6" borderId="0" xfId="18" applyNumberFormat="1" applyFont="1" applyFill="1"/>
    <xf numFmtId="10" fontId="13" fillId="0" borderId="0" xfId="18" applyNumberFormat="1" applyFont="1"/>
    <xf numFmtId="0" fontId="10" fillId="5" borderId="2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center" vertical="center"/>
    </xf>
    <xf numFmtId="173" fontId="9" fillId="0" borderId="2" xfId="2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9" fillId="0" borderId="0" xfId="0" applyNumberFormat="1" applyFont="1" applyFill="1" applyBorder="1"/>
    <xf numFmtId="3" fontId="9" fillId="0" borderId="1" xfId="0" applyNumberFormat="1" applyFont="1" applyFill="1" applyBorder="1"/>
    <xf numFmtId="3" fontId="9" fillId="0" borderId="4" xfId="0" applyNumberFormat="1" applyFont="1" applyFill="1" applyBorder="1"/>
    <xf numFmtId="0" fontId="9" fillId="0" borderId="1" xfId="0" applyFont="1" applyFill="1" applyBorder="1"/>
    <xf numFmtId="0" fontId="14" fillId="0" borderId="0" xfId="0" applyFont="1" applyFill="1"/>
    <xf numFmtId="0" fontId="9" fillId="0" borderId="6" xfId="0" applyFont="1" applyFill="1" applyBorder="1"/>
    <xf numFmtId="0" fontId="14" fillId="0" borderId="6" xfId="0" applyFont="1" applyFill="1" applyBorder="1"/>
    <xf numFmtId="3" fontId="9" fillId="0" borderId="6" xfId="0" applyNumberFormat="1" applyFont="1" applyFill="1" applyBorder="1"/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5" borderId="4" xfId="0" applyFont="1" applyFill="1" applyBorder="1" applyAlignment="1">
      <alignment vertical="center"/>
    </xf>
    <xf numFmtId="169" fontId="10" fillId="5" borderId="4" xfId="0" applyNumberFormat="1" applyFont="1" applyFill="1" applyBorder="1" applyAlignment="1">
      <alignment vertical="center"/>
    </xf>
    <xf numFmtId="169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70" fontId="9" fillId="0" borderId="0" xfId="18" applyNumberFormat="1" applyFont="1" applyAlignment="1">
      <alignment vertical="center"/>
    </xf>
    <xf numFmtId="170" fontId="10" fillId="5" borderId="4" xfId="18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9" fontId="9" fillId="0" borderId="0" xfId="18" applyFont="1" applyAlignment="1">
      <alignment vertical="center"/>
    </xf>
    <xf numFmtId="0" fontId="9" fillId="0" borderId="0" xfId="0" applyFont="1" applyFill="1" applyBorder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9" fontId="30" fillId="0" borderId="0" xfId="0" applyNumberFormat="1" applyFont="1"/>
    <xf numFmtId="0" fontId="12" fillId="0" borderId="0" xfId="0" applyFont="1" applyFill="1" applyBorder="1"/>
    <xf numFmtId="0" fontId="36" fillId="5" borderId="9" xfId="15" applyFont="1" applyFill="1" applyBorder="1" applyAlignment="1">
      <alignment horizontal="center" vertical="center"/>
    </xf>
    <xf numFmtId="0" fontId="37" fillId="0" borderId="0" xfId="15" applyFont="1" applyFill="1" applyBorder="1" applyAlignment="1">
      <alignment horizontal="center" vertical="center"/>
    </xf>
    <xf numFmtId="0" fontId="38" fillId="0" borderId="0" xfId="15" applyFont="1" applyAlignment="1">
      <alignment vertical="center"/>
    </xf>
    <xf numFmtId="0" fontId="36" fillId="5" borderId="5" xfId="15" applyFont="1" applyFill="1" applyBorder="1" applyAlignment="1">
      <alignment horizontal="center" vertical="center"/>
    </xf>
    <xf numFmtId="0" fontId="36" fillId="5" borderId="10" xfId="15" applyFont="1" applyFill="1" applyBorder="1" applyAlignment="1">
      <alignment horizontal="center" vertical="center"/>
    </xf>
    <xf numFmtId="0" fontId="37" fillId="0" borderId="0" xfId="15" applyFont="1" applyAlignment="1">
      <alignment vertical="center"/>
    </xf>
    <xf numFmtId="0" fontId="36" fillId="5" borderId="0" xfId="15" applyFont="1" applyFill="1" applyBorder="1" applyAlignment="1">
      <alignment horizontal="center" vertical="center"/>
    </xf>
    <xf numFmtId="0" fontId="36" fillId="5" borderId="11" xfId="15" applyFont="1" applyFill="1" applyBorder="1" applyAlignment="1">
      <alignment horizontal="center" vertical="center"/>
    </xf>
    <xf numFmtId="0" fontId="38" fillId="0" borderId="12" xfId="15" applyFont="1" applyBorder="1" applyAlignment="1">
      <alignment vertical="center" wrapText="1"/>
    </xf>
    <xf numFmtId="0" fontId="37" fillId="0" borderId="13" xfId="15" applyFont="1" applyBorder="1" applyAlignment="1">
      <alignment horizontal="right" vertical="center"/>
    </xf>
    <xf numFmtId="3" fontId="38" fillId="0" borderId="14" xfId="15" applyNumberFormat="1" applyFont="1" applyBorder="1" applyAlignment="1">
      <alignment vertical="center"/>
    </xf>
    <xf numFmtId="3" fontId="38" fillId="0" borderId="16" xfId="15" applyNumberFormat="1" applyFont="1" applyBorder="1" applyAlignment="1">
      <alignment vertical="center"/>
    </xf>
    <xf numFmtId="3" fontId="38" fillId="0" borderId="17" xfId="15" applyNumberFormat="1" applyFont="1" applyBorder="1" applyAlignment="1">
      <alignment vertical="center"/>
    </xf>
    <xf numFmtId="0" fontId="38" fillId="0" borderId="13" xfId="15" applyFont="1" applyFill="1" applyBorder="1" applyAlignment="1">
      <alignment horizontal="right" vertical="center"/>
    </xf>
    <xf numFmtId="3" fontId="38" fillId="0" borderId="13" xfId="15" applyNumberFormat="1" applyFont="1" applyBorder="1" applyAlignment="1">
      <alignment vertical="center"/>
    </xf>
    <xf numFmtId="0" fontId="37" fillId="0" borderId="13" xfId="15" applyFont="1" applyFill="1" applyBorder="1" applyAlignment="1">
      <alignment horizontal="right" vertical="center"/>
    </xf>
    <xf numFmtId="3" fontId="38" fillId="0" borderId="13" xfId="15" applyNumberFormat="1" applyFont="1" applyFill="1" applyBorder="1" applyAlignment="1">
      <alignment horizontal="right" vertical="center"/>
    </xf>
    <xf numFmtId="3" fontId="41" fillId="4" borderId="13" xfId="15" applyNumberFormat="1" applyFont="1" applyFill="1" applyBorder="1" applyAlignment="1">
      <alignment horizontal="right" vertical="center"/>
    </xf>
    <xf numFmtId="3" fontId="41" fillId="0" borderId="14" xfId="15" applyNumberFormat="1" applyFont="1" applyBorder="1" applyAlignment="1">
      <alignment vertical="center"/>
    </xf>
    <xf numFmtId="4" fontId="41" fillId="0" borderId="14" xfId="15" applyNumberFormat="1" applyFont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0" fontId="41" fillId="0" borderId="0" xfId="15" applyFont="1" applyAlignment="1">
      <alignment vertical="center"/>
    </xf>
    <xf numFmtId="0" fontId="38" fillId="0" borderId="13" xfId="15" applyFont="1" applyBorder="1" applyAlignment="1">
      <alignment vertical="center"/>
    </xf>
    <xf numFmtId="0" fontId="38" fillId="0" borderId="14" xfId="15" applyFont="1" applyBorder="1" applyAlignment="1">
      <alignment vertical="center"/>
    </xf>
    <xf numFmtId="0" fontId="38" fillId="0" borderId="15" xfId="15" applyFont="1" applyBorder="1" applyAlignment="1">
      <alignment vertical="center"/>
    </xf>
    <xf numFmtId="3" fontId="38" fillId="0" borderId="13" xfId="15" applyNumberFormat="1" applyFont="1" applyBorder="1" applyAlignment="1">
      <alignment horizontal="right" vertical="center"/>
    </xf>
    <xf numFmtId="0" fontId="38" fillId="0" borderId="13" xfId="15" applyFont="1" applyBorder="1" applyAlignment="1">
      <alignment horizontal="right" vertical="center"/>
    </xf>
    <xf numFmtId="3" fontId="38" fillId="0" borderId="0" xfId="15" applyNumberFormat="1" applyFont="1" applyFill="1" applyBorder="1" applyAlignment="1">
      <alignment horizontal="right" vertical="center"/>
    </xf>
    <xf numFmtId="0" fontId="38" fillId="0" borderId="12" xfId="15" applyFont="1" applyFill="1" applyBorder="1" applyAlignment="1">
      <alignment vertical="center" wrapText="1"/>
    </xf>
    <xf numFmtId="0" fontId="38" fillId="0" borderId="0" xfId="15" applyFont="1" applyBorder="1" applyAlignment="1">
      <alignment vertical="center"/>
    </xf>
    <xf numFmtId="3" fontId="38" fillId="0" borderId="15" xfId="15" applyNumberFormat="1" applyFont="1" applyBorder="1" applyAlignment="1">
      <alignment horizontal="right" vertical="center"/>
    </xf>
    <xf numFmtId="3" fontId="38" fillId="0" borderId="14" xfId="15" applyNumberFormat="1" applyFont="1" applyBorder="1" applyAlignment="1">
      <alignment horizontal="right" vertical="center"/>
    </xf>
    <xf numFmtId="3" fontId="37" fillId="0" borderId="0" xfId="15" applyNumberFormat="1" applyFont="1" applyAlignment="1">
      <alignment vertical="center"/>
    </xf>
    <xf numFmtId="3" fontId="38" fillId="0" borderId="18" xfId="15" applyNumberFormat="1" applyFont="1" applyBorder="1" applyAlignment="1">
      <alignment horizontal="right" vertical="center"/>
    </xf>
    <xf numFmtId="0" fontId="44" fillId="0" borderId="0" xfId="15" applyFont="1" applyAlignment="1">
      <alignment horizontal="right" vertical="center"/>
    </xf>
    <xf numFmtId="3" fontId="44" fillId="0" borderId="0" xfId="15" applyNumberFormat="1" applyFont="1" applyAlignment="1">
      <alignment horizontal="right" vertical="center"/>
    </xf>
    <xf numFmtId="0" fontId="45" fillId="6" borderId="19" xfId="0" applyFont="1" applyFill="1" applyBorder="1" applyAlignment="1">
      <alignment vertical="center"/>
    </xf>
    <xf numFmtId="10" fontId="25" fillId="0" borderId="20" xfId="18" applyNumberFormat="1" applyFont="1" applyBorder="1" applyAlignment="1">
      <alignment horizontal="center" vertical="center"/>
    </xf>
    <xf numFmtId="0" fontId="45" fillId="6" borderId="19" xfId="0" applyFont="1" applyFill="1" applyBorder="1" applyAlignment="1">
      <alignment vertical="center" wrapText="1"/>
    </xf>
    <xf numFmtId="0" fontId="38" fillId="0" borderId="21" xfId="15" applyFont="1" applyBorder="1" applyAlignment="1">
      <alignment horizontal="right" vertical="center"/>
    </xf>
    <xf numFmtId="0" fontId="36" fillId="5" borderId="22" xfId="15" applyFont="1" applyFill="1" applyBorder="1" applyAlignment="1">
      <alignment horizontal="center" vertical="center"/>
    </xf>
    <xf numFmtId="0" fontId="36" fillId="5" borderId="23" xfId="15" applyFont="1" applyFill="1" applyBorder="1" applyAlignment="1">
      <alignment horizontal="center" vertical="center"/>
    </xf>
    <xf numFmtId="0" fontId="36" fillId="5" borderId="24" xfId="15" applyFont="1" applyFill="1" applyBorder="1" applyAlignment="1">
      <alignment horizontal="center" vertical="center"/>
    </xf>
    <xf numFmtId="0" fontId="40" fillId="0" borderId="12" xfId="15" applyFont="1" applyBorder="1" applyAlignment="1">
      <alignment horizontal="center" vertical="center"/>
    </xf>
    <xf numFmtId="0" fontId="38" fillId="0" borderId="14" xfId="15" applyFont="1" applyBorder="1" applyAlignment="1">
      <alignment horizontal="right" vertical="center"/>
    </xf>
    <xf numFmtId="0" fontId="38" fillId="0" borderId="16" xfId="15" applyFont="1" applyBorder="1" applyAlignment="1">
      <alignment vertical="center"/>
    </xf>
    <xf numFmtId="0" fontId="38" fillId="0" borderId="25" xfId="15" applyFont="1" applyFill="1" applyBorder="1" applyAlignment="1">
      <alignment vertical="center"/>
    </xf>
    <xf numFmtId="0" fontId="38" fillId="0" borderId="26" xfId="15" applyFont="1" applyBorder="1" applyAlignment="1">
      <alignment vertical="center"/>
    </xf>
    <xf numFmtId="0" fontId="38" fillId="0" borderId="17" xfId="15" applyFont="1" applyBorder="1" applyAlignment="1">
      <alignment vertical="center"/>
    </xf>
    <xf numFmtId="0" fontId="37" fillId="0" borderId="12" xfId="15" applyFont="1" applyBorder="1" applyAlignment="1">
      <alignment vertical="center"/>
    </xf>
    <xf numFmtId="3" fontId="38" fillId="0" borderId="25" xfId="15" applyNumberFormat="1" applyFont="1" applyFill="1" applyBorder="1" applyAlignment="1">
      <alignment horizontal="right" vertical="center"/>
    </xf>
    <xf numFmtId="0" fontId="36" fillId="5" borderId="27" xfId="15" applyFont="1" applyFill="1" applyBorder="1" applyAlignment="1">
      <alignment horizontal="right" vertical="center"/>
    </xf>
    <xf numFmtId="3" fontId="36" fillId="5" borderId="20" xfId="15" applyNumberFormat="1" applyFont="1" applyFill="1" applyBorder="1" applyAlignment="1">
      <alignment horizontal="right" vertical="center"/>
    </xf>
    <xf numFmtId="3" fontId="37" fillId="0" borderId="25" xfId="15" applyNumberFormat="1" applyFont="1" applyFill="1" applyBorder="1" applyAlignment="1">
      <alignment horizontal="right" vertical="center"/>
    </xf>
    <xf numFmtId="3" fontId="36" fillId="5" borderId="28" xfId="15" applyNumberFormat="1" applyFont="1" applyFill="1" applyBorder="1" applyAlignment="1">
      <alignment horizontal="right" vertical="center"/>
    </xf>
    <xf numFmtId="3" fontId="36" fillId="5" borderId="29" xfId="15" applyNumberFormat="1" applyFont="1" applyFill="1" applyBorder="1" applyAlignment="1">
      <alignment horizontal="right" vertical="center"/>
    </xf>
    <xf numFmtId="0" fontId="38" fillId="0" borderId="12" xfId="15" applyFont="1" applyBorder="1" applyAlignment="1">
      <alignment vertical="center"/>
    </xf>
    <xf numFmtId="0" fontId="38" fillId="0" borderId="0" xfId="15" applyFont="1" applyFill="1" applyAlignment="1">
      <alignment vertical="center"/>
    </xf>
    <xf numFmtId="3" fontId="38" fillId="0" borderId="14" xfId="15" applyNumberFormat="1" applyFont="1" applyFill="1" applyBorder="1" applyAlignment="1">
      <alignment horizontal="right" vertical="center"/>
    </xf>
    <xf numFmtId="3" fontId="38" fillId="0" borderId="15" xfId="15" applyNumberFormat="1" applyFont="1" applyFill="1" applyBorder="1" applyAlignment="1">
      <alignment horizontal="right" vertical="center"/>
    </xf>
    <xf numFmtId="3" fontId="38" fillId="0" borderId="25" xfId="15" applyNumberFormat="1" applyFont="1" applyFill="1" applyBorder="1" applyAlignment="1">
      <alignment vertical="center"/>
    </xf>
    <xf numFmtId="3" fontId="38" fillId="0" borderId="30" xfId="15" applyNumberFormat="1" applyFont="1" applyBorder="1" applyAlignment="1">
      <alignment vertical="center"/>
    </xf>
    <xf numFmtId="0" fontId="36" fillId="5" borderId="31" xfId="15" applyFont="1" applyFill="1" applyBorder="1" applyAlignment="1">
      <alignment horizontal="right" vertical="center"/>
    </xf>
    <xf numFmtId="3" fontId="36" fillId="5" borderId="32" xfId="15" applyNumberFormat="1" applyFont="1" applyFill="1" applyBorder="1" applyAlignment="1">
      <alignment horizontal="right" vertical="center"/>
    </xf>
    <xf numFmtId="3" fontId="36" fillId="5" borderId="33" xfId="15" applyNumberFormat="1" applyFont="1" applyFill="1" applyBorder="1" applyAlignment="1">
      <alignment horizontal="right" vertical="center"/>
    </xf>
    <xf numFmtId="3" fontId="36" fillId="5" borderId="34" xfId="15" applyNumberFormat="1" applyFont="1" applyFill="1" applyBorder="1" applyAlignment="1">
      <alignment horizontal="right" vertical="center"/>
    </xf>
    <xf numFmtId="0" fontId="36" fillId="5" borderId="0" xfId="15" applyFont="1" applyFill="1" applyBorder="1" applyAlignment="1">
      <alignment horizontal="right" vertical="center"/>
    </xf>
    <xf numFmtId="3" fontId="36" fillId="5" borderId="0" xfId="15" applyNumberFormat="1" applyFont="1" applyFill="1" applyBorder="1" applyAlignment="1">
      <alignment horizontal="right" vertical="center"/>
    </xf>
    <xf numFmtId="0" fontId="38" fillId="0" borderId="0" xfId="15" applyFont="1" applyAlignment="1">
      <alignment horizontal="right" vertical="center"/>
    </xf>
    <xf numFmtId="169" fontId="38" fillId="0" borderId="0" xfId="15" applyNumberFormat="1" applyFont="1" applyAlignment="1">
      <alignment vertical="center"/>
    </xf>
    <xf numFmtId="3" fontId="35" fillId="0" borderId="19" xfId="0" applyNumberFormat="1" applyFont="1" applyBorder="1" applyAlignment="1">
      <alignment vertical="center"/>
    </xf>
    <xf numFmtId="3" fontId="35" fillId="0" borderId="35" xfId="0" applyNumberFormat="1" applyFont="1" applyBorder="1" applyAlignment="1">
      <alignment vertical="center"/>
    </xf>
    <xf numFmtId="0" fontId="30" fillId="0" borderId="0" xfId="0" applyFont="1" applyAlignment="1">
      <alignment horizontal="right"/>
    </xf>
    <xf numFmtId="169" fontId="38" fillId="0" borderId="14" xfId="15" applyNumberFormat="1" applyFont="1" applyBorder="1" applyAlignment="1">
      <alignment vertical="center"/>
    </xf>
    <xf numFmtId="169" fontId="38" fillId="0" borderId="13" xfId="15" applyNumberFormat="1" applyFont="1" applyBorder="1" applyAlignment="1">
      <alignment horizontal="right" vertical="center"/>
    </xf>
    <xf numFmtId="169" fontId="38" fillId="0" borderId="0" xfId="15" applyNumberFormat="1" applyFont="1" applyBorder="1" applyAlignment="1">
      <alignment vertical="center"/>
    </xf>
    <xf numFmtId="169" fontId="37" fillId="0" borderId="13" xfId="15" applyNumberFormat="1" applyFont="1" applyBorder="1" applyAlignment="1">
      <alignment horizontal="right" vertical="center"/>
    </xf>
    <xf numFmtId="169" fontId="38" fillId="0" borderId="14" xfId="15" applyNumberFormat="1" applyFont="1" applyBorder="1" applyAlignment="1">
      <alignment horizontal="right" vertical="center"/>
    </xf>
    <xf numFmtId="169" fontId="38" fillId="0" borderId="18" xfId="15" applyNumberFormat="1" applyFont="1" applyBorder="1" applyAlignment="1">
      <alignment horizontal="right" vertical="center"/>
    </xf>
    <xf numFmtId="169" fontId="44" fillId="0" borderId="0" xfId="15" applyNumberFormat="1" applyFont="1" applyAlignment="1">
      <alignment horizontal="right" vertical="center"/>
    </xf>
    <xf numFmtId="169" fontId="38" fillId="0" borderId="0" xfId="15" applyNumberFormat="1" applyFont="1" applyAlignment="1">
      <alignment horizontal="right" vertical="center"/>
    </xf>
    <xf numFmtId="169" fontId="25" fillId="0" borderId="20" xfId="0" applyNumberFormat="1" applyFont="1" applyBorder="1" applyAlignment="1">
      <alignment horizontal="center" vertical="center"/>
    </xf>
    <xf numFmtId="168" fontId="38" fillId="0" borderId="0" xfId="15" applyNumberFormat="1" applyFont="1" applyAlignment="1">
      <alignment vertical="center"/>
    </xf>
    <xf numFmtId="170" fontId="38" fillId="0" borderId="0" xfId="18" applyNumberFormat="1" applyFont="1" applyAlignment="1">
      <alignment vertical="center"/>
    </xf>
    <xf numFmtId="0" fontId="44" fillId="0" borderId="0" xfId="15" applyFont="1" applyFill="1" applyBorder="1" applyAlignment="1">
      <alignment horizontal="center" vertical="center"/>
    </xf>
    <xf numFmtId="0" fontId="38" fillId="0" borderId="28" xfId="15" applyFont="1" applyFill="1" applyBorder="1" applyAlignment="1">
      <alignment horizontal="center" vertical="center"/>
    </xf>
    <xf numFmtId="169" fontId="36" fillId="5" borderId="14" xfId="15" applyNumberFormat="1" applyFont="1" applyFill="1" applyBorder="1" applyAlignment="1">
      <alignment vertical="center"/>
    </xf>
    <xf numFmtId="10" fontId="36" fillId="5" borderId="14" xfId="18" applyNumberFormat="1" applyFont="1" applyFill="1" applyBorder="1" applyAlignment="1">
      <alignment vertical="center"/>
    </xf>
    <xf numFmtId="169" fontId="36" fillId="5" borderId="13" xfId="15" applyNumberFormat="1" applyFont="1" applyFill="1" applyBorder="1" applyAlignment="1">
      <alignment horizontal="right" vertical="center"/>
    </xf>
    <xf numFmtId="3" fontId="36" fillId="5" borderId="13" xfId="15" applyNumberFormat="1" applyFont="1" applyFill="1" applyBorder="1" applyAlignment="1">
      <alignment horizontal="right" vertical="center"/>
    </xf>
    <xf numFmtId="169" fontId="37" fillId="0" borderId="14" xfId="15" applyNumberFormat="1" applyFont="1" applyBorder="1" applyAlignment="1">
      <alignment vertical="center"/>
    </xf>
    <xf numFmtId="3" fontId="25" fillId="0" borderId="20" xfId="0" applyNumberFormat="1" applyFont="1" applyFill="1" applyBorder="1" applyAlignment="1">
      <alignment horizontal="center" vertical="center"/>
    </xf>
    <xf numFmtId="177" fontId="44" fillId="0" borderId="0" xfId="2" applyNumberFormat="1" applyFont="1" applyAlignment="1">
      <alignment horizontal="right" vertical="center"/>
    </xf>
    <xf numFmtId="166" fontId="35" fillId="0" borderId="20" xfId="2" applyNumberFormat="1" applyFont="1" applyBorder="1" applyAlignment="1">
      <alignment horizontal="center" vertical="center"/>
    </xf>
    <xf numFmtId="0" fontId="36" fillId="5" borderId="37" xfId="15" applyFont="1" applyFill="1" applyBorder="1" applyAlignment="1">
      <alignment horizontal="center" vertical="center"/>
    </xf>
    <xf numFmtId="0" fontId="37" fillId="0" borderId="12" xfId="15" applyFont="1" applyBorder="1" applyAlignment="1">
      <alignment vertical="center" wrapText="1"/>
    </xf>
    <xf numFmtId="0" fontId="41" fillId="0" borderId="12" xfId="15" applyFont="1" applyBorder="1" applyAlignment="1">
      <alignment vertical="center" wrapText="1"/>
    </xf>
    <xf numFmtId="0" fontId="43" fillId="0" borderId="12" xfId="15" applyFont="1" applyBorder="1" applyAlignment="1">
      <alignment vertical="center" wrapText="1"/>
    </xf>
    <xf numFmtId="3" fontId="43" fillId="0" borderId="12" xfId="15" applyNumberFormat="1" applyFont="1" applyBorder="1" applyAlignment="1">
      <alignment vertical="center" wrapText="1"/>
    </xf>
    <xf numFmtId="3" fontId="43" fillId="0" borderId="12" xfId="15" applyNumberFormat="1" applyFont="1" applyBorder="1" applyAlignment="1">
      <alignment vertical="center"/>
    </xf>
    <xf numFmtId="3" fontId="43" fillId="0" borderId="38" xfId="15" applyNumberFormat="1" applyFont="1" applyBorder="1" applyAlignment="1">
      <alignment vertical="center"/>
    </xf>
    <xf numFmtId="0" fontId="46" fillId="0" borderId="26" xfId="15" applyFont="1" applyBorder="1" applyAlignment="1">
      <alignment horizontal="center" vertical="center"/>
    </xf>
    <xf numFmtId="10" fontId="46" fillId="0" borderId="36" xfId="18" applyNumberFormat="1" applyFont="1" applyBorder="1" applyAlignment="1">
      <alignment horizontal="center" vertical="center"/>
    </xf>
    <xf numFmtId="166" fontId="38" fillId="0" borderId="0" xfId="2" applyFont="1" applyFill="1" applyBorder="1" applyAlignment="1">
      <alignment horizontal="right" vertical="center"/>
    </xf>
    <xf numFmtId="0" fontId="13" fillId="0" borderId="0" xfId="0" applyFont="1" applyFill="1"/>
    <xf numFmtId="0" fontId="23" fillId="0" borderId="0" xfId="0" applyFont="1" applyFill="1" applyBorder="1"/>
    <xf numFmtId="3" fontId="12" fillId="5" borderId="4" xfId="0" applyNumberFormat="1" applyFont="1" applyFill="1" applyBorder="1"/>
    <xf numFmtId="9" fontId="18" fillId="0" borderId="0" xfId="18" applyFont="1"/>
    <xf numFmtId="9" fontId="18" fillId="0" borderId="0" xfId="18" applyNumberFormat="1" applyFont="1"/>
    <xf numFmtId="0" fontId="36" fillId="5" borderId="42" xfId="15" applyFont="1" applyFill="1" applyBorder="1" applyAlignment="1">
      <alignment horizontal="left" vertical="center"/>
    </xf>
    <xf numFmtId="0" fontId="36" fillId="5" borderId="42" xfId="15" applyFont="1" applyFill="1" applyBorder="1" applyAlignment="1">
      <alignment horizontal="center" vertical="center"/>
    </xf>
    <xf numFmtId="9" fontId="43" fillId="0" borderId="14" xfId="18" applyFont="1" applyBorder="1" applyAlignment="1">
      <alignment vertical="center"/>
    </xf>
    <xf numFmtId="169" fontId="43" fillId="0" borderId="14" xfId="15" applyNumberFormat="1" applyFont="1" applyBorder="1" applyAlignment="1">
      <alignment vertical="center"/>
    </xf>
    <xf numFmtId="169" fontId="49" fillId="0" borderId="13" xfId="15" applyNumberFormat="1" applyFont="1" applyBorder="1" applyAlignment="1">
      <alignment vertical="center"/>
    </xf>
    <xf numFmtId="0" fontId="18" fillId="0" borderId="12" xfId="0" applyFont="1" applyBorder="1" applyAlignment="1">
      <alignment horizontal="right"/>
    </xf>
    <xf numFmtId="0" fontId="18" fillId="0" borderId="12" xfId="0" applyFont="1" applyBorder="1" applyAlignment="1">
      <alignment horizontal="right" wrapText="1"/>
    </xf>
    <xf numFmtId="169" fontId="38" fillId="0" borderId="15" xfId="15" applyNumberFormat="1" applyFont="1" applyBorder="1" applyAlignment="1">
      <alignment vertical="center"/>
    </xf>
    <xf numFmtId="169" fontId="37" fillId="0" borderId="15" xfId="15" applyNumberFormat="1" applyFont="1" applyBorder="1" applyAlignment="1">
      <alignment vertical="center"/>
    </xf>
    <xf numFmtId="169" fontId="43" fillId="0" borderId="15" xfId="15" applyNumberFormat="1" applyFont="1" applyBorder="1" applyAlignment="1">
      <alignment vertical="center"/>
    </xf>
    <xf numFmtId="169" fontId="36" fillId="5" borderId="15" xfId="15" applyNumberFormat="1" applyFont="1" applyFill="1" applyBorder="1" applyAlignment="1">
      <alignment vertical="center"/>
    </xf>
    <xf numFmtId="10" fontId="36" fillId="5" borderId="15" xfId="18" applyNumberFormat="1" applyFont="1" applyFill="1" applyBorder="1" applyAlignment="1">
      <alignment vertical="center"/>
    </xf>
    <xf numFmtId="169" fontId="38" fillId="0" borderId="11" xfId="15" applyNumberFormat="1" applyFont="1" applyBorder="1" applyAlignment="1">
      <alignment horizontal="right" vertical="center"/>
    </xf>
    <xf numFmtId="169" fontId="36" fillId="5" borderId="11" xfId="15" applyNumberFormat="1" applyFont="1" applyFill="1" applyBorder="1" applyAlignment="1">
      <alignment horizontal="right" vertical="center"/>
    </xf>
    <xf numFmtId="169" fontId="38" fillId="0" borderId="15" xfId="15" applyNumberFormat="1" applyFont="1" applyBorder="1" applyAlignment="1">
      <alignment horizontal="right" vertical="center"/>
    </xf>
    <xf numFmtId="169" fontId="38" fillId="0" borderId="34" xfId="15" applyNumberFormat="1" applyFont="1" applyBorder="1" applyAlignment="1">
      <alignment horizontal="right" vertical="center"/>
    </xf>
    <xf numFmtId="9" fontId="43" fillId="0" borderId="15" xfId="18" applyFont="1" applyBorder="1" applyAlignment="1">
      <alignment vertical="center"/>
    </xf>
    <xf numFmtId="0" fontId="33" fillId="0" borderId="0" xfId="0" applyFont="1" applyAlignment="1">
      <alignment horizontal="center"/>
    </xf>
    <xf numFmtId="186" fontId="50" fillId="0" borderId="0" xfId="0" applyNumberFormat="1" applyFont="1" applyAlignment="1">
      <alignment horizontal="center"/>
    </xf>
    <xf numFmtId="186" fontId="33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49" fontId="10" fillId="5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10" fillId="5" borderId="8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0" borderId="39" xfId="0" applyFont="1" applyBorder="1"/>
    <xf numFmtId="0" fontId="15" fillId="0" borderId="43" xfId="0" applyFont="1" applyBorder="1"/>
    <xf numFmtId="0" fontId="15" fillId="0" borderId="8" xfId="0" applyFont="1" applyBorder="1"/>
    <xf numFmtId="0" fontId="9" fillId="0" borderId="7" xfId="0" applyFont="1" applyBorder="1"/>
    <xf numFmtId="0" fontId="9" fillId="0" borderId="39" xfId="0" applyFont="1" applyFill="1" applyBorder="1"/>
    <xf numFmtId="3" fontId="9" fillId="0" borderId="43" xfId="0" applyNumberFormat="1" applyFont="1" applyFill="1" applyBorder="1"/>
    <xf numFmtId="169" fontId="9" fillId="0" borderId="43" xfId="0" applyNumberFormat="1" applyFont="1" applyFill="1" applyBorder="1"/>
    <xf numFmtId="0" fontId="9" fillId="0" borderId="8" xfId="0" applyFont="1" applyFill="1" applyBorder="1"/>
    <xf numFmtId="3" fontId="9" fillId="0" borderId="7" xfId="0" applyNumberFormat="1" applyFont="1" applyFill="1" applyBorder="1"/>
    <xf numFmtId="0" fontId="14" fillId="0" borderId="39" xfId="0" applyFont="1" applyBorder="1"/>
    <xf numFmtId="3" fontId="14" fillId="0" borderId="0" xfId="0" applyNumberFormat="1" applyFont="1" applyBorder="1"/>
    <xf numFmtId="3" fontId="14" fillId="0" borderId="43" xfId="0" applyNumberFormat="1" applyFont="1" applyBorder="1"/>
    <xf numFmtId="0" fontId="10" fillId="5" borderId="8" xfId="0" applyFont="1" applyFill="1" applyBorder="1"/>
    <xf numFmtId="3" fontId="24" fillId="5" borderId="7" xfId="0" applyNumberFormat="1" applyFont="1" applyFill="1" applyBorder="1"/>
    <xf numFmtId="3" fontId="14" fillId="0" borderId="0" xfId="0" applyNumberFormat="1" applyFont="1" applyFill="1" applyBorder="1"/>
    <xf numFmtId="0" fontId="24" fillId="5" borderId="2" xfId="0" applyFont="1" applyFill="1" applyBorder="1" applyAlignment="1">
      <alignment vertical="center"/>
    </xf>
    <xf numFmtId="175" fontId="24" fillId="5" borderId="2" xfId="2" applyNumberFormat="1" applyFont="1" applyFill="1" applyBorder="1" applyAlignment="1">
      <alignment vertical="center"/>
    </xf>
    <xf numFmtId="9" fontId="24" fillId="5" borderId="2" xfId="18" applyFont="1" applyFill="1" applyBorder="1" applyAlignment="1">
      <alignment vertical="center"/>
    </xf>
    <xf numFmtId="0" fontId="15" fillId="0" borderId="1" xfId="0" applyFont="1" applyBorder="1"/>
    <xf numFmtId="3" fontId="9" fillId="0" borderId="1" xfId="0" applyNumberFormat="1" applyFont="1" applyBorder="1"/>
    <xf numFmtId="0" fontId="21" fillId="0" borderId="0" xfId="0" applyFont="1" applyBorder="1"/>
    <xf numFmtId="3" fontId="9" fillId="0" borderId="6" xfId="0" applyNumberFormat="1" applyFont="1" applyBorder="1"/>
    <xf numFmtId="0" fontId="38" fillId="0" borderId="11" xfId="15" applyFont="1" applyBorder="1" applyAlignment="1">
      <alignment vertical="center"/>
    </xf>
    <xf numFmtId="169" fontId="38" fillId="0" borderId="16" xfId="15" applyNumberFormat="1" applyFont="1" applyBorder="1" applyAlignment="1">
      <alignment horizontal="right" vertical="center"/>
    </xf>
    <xf numFmtId="169" fontId="38" fillId="0" borderId="17" xfId="15" applyNumberFormat="1" applyFont="1" applyBorder="1" applyAlignment="1">
      <alignment horizontal="right" vertical="center"/>
    </xf>
    <xf numFmtId="3" fontId="38" fillId="0" borderId="11" xfId="15" applyNumberFormat="1" applyFont="1" applyBorder="1" applyAlignment="1">
      <alignment vertical="center"/>
    </xf>
    <xf numFmtId="0" fontId="38" fillId="0" borderId="16" xfId="15" applyFont="1" applyFill="1" applyBorder="1" applyAlignment="1">
      <alignment vertical="center"/>
    </xf>
    <xf numFmtId="3" fontId="36" fillId="5" borderId="14" xfId="15" applyNumberFormat="1" applyFont="1" applyFill="1" applyBorder="1" applyAlignment="1">
      <alignment horizontal="right" vertical="center"/>
    </xf>
    <xf numFmtId="3" fontId="36" fillId="5" borderId="15" xfId="15" applyNumberFormat="1" applyFont="1" applyFill="1" applyBorder="1" applyAlignment="1">
      <alignment horizontal="right" vertical="center"/>
    </xf>
    <xf numFmtId="169" fontId="38" fillId="0" borderId="16" xfId="15" applyNumberFormat="1" applyFont="1" applyBorder="1" applyAlignment="1">
      <alignment vertical="center"/>
    </xf>
    <xf numFmtId="169" fontId="38" fillId="0" borderId="17" xfId="15" applyNumberFormat="1" applyFont="1" applyBorder="1" applyAlignment="1">
      <alignment vertical="center"/>
    </xf>
    <xf numFmtId="3" fontId="38" fillId="0" borderId="44" xfId="15" applyNumberFormat="1" applyFont="1" applyBorder="1" applyAlignment="1">
      <alignment vertical="center"/>
    </xf>
    <xf numFmtId="0" fontId="41" fillId="0" borderId="11" xfId="15" applyFont="1" applyBorder="1" applyAlignment="1">
      <alignment vertical="center"/>
    </xf>
    <xf numFmtId="3" fontId="38" fillId="0" borderId="11" xfId="15" applyNumberFormat="1" applyFont="1" applyBorder="1" applyAlignment="1">
      <alignment horizontal="right" vertical="center"/>
    </xf>
    <xf numFmtId="3" fontId="38" fillId="0" borderId="21" xfId="15" applyNumberFormat="1" applyFont="1" applyBorder="1" applyAlignment="1">
      <alignment horizontal="right" vertical="center"/>
    </xf>
    <xf numFmtId="0" fontId="41" fillId="0" borderId="45" xfId="15" applyFont="1" applyBorder="1" applyAlignment="1">
      <alignment vertical="center"/>
    </xf>
    <xf numFmtId="0" fontId="41" fillId="0" borderId="30" xfId="15" applyFont="1" applyBorder="1" applyAlignment="1">
      <alignment vertical="center"/>
    </xf>
    <xf numFmtId="0" fontId="38" fillId="0" borderId="45" xfId="15" applyFont="1" applyBorder="1" applyAlignment="1">
      <alignment vertical="center"/>
    </xf>
    <xf numFmtId="0" fontId="38" fillId="0" borderId="45" xfId="15" applyFont="1" applyFill="1" applyBorder="1" applyAlignment="1">
      <alignment vertical="center"/>
    </xf>
    <xf numFmtId="0" fontId="38" fillId="0" borderId="30" xfId="15" applyFont="1" applyBorder="1" applyAlignment="1">
      <alignment vertical="center"/>
    </xf>
    <xf numFmtId="1" fontId="12" fillId="5" borderId="10" xfId="0" applyNumberFormat="1" applyFont="1" applyFill="1" applyBorder="1" applyAlignment="1">
      <alignment horizontal="center" vertical="center"/>
    </xf>
    <xf numFmtId="0" fontId="36" fillId="5" borderId="12" xfId="15" applyFont="1" applyFill="1" applyBorder="1" applyAlignment="1">
      <alignment horizontal="right" vertical="center" wrapText="1"/>
    </xf>
    <xf numFmtId="169" fontId="27" fillId="5" borderId="4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center" vertical="center"/>
    </xf>
    <xf numFmtId="3" fontId="10" fillId="5" borderId="6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1" fontId="10" fillId="5" borderId="0" xfId="0" applyNumberFormat="1" applyFont="1" applyFill="1" applyBorder="1" applyAlignment="1">
      <alignment horizontal="center" vertical="center"/>
    </xf>
    <xf numFmtId="10" fontId="24" fillId="0" borderId="0" xfId="18" applyNumberFormat="1" applyFont="1" applyAlignment="1">
      <alignment vertical="center"/>
    </xf>
    <xf numFmtId="169" fontId="9" fillId="0" borderId="1" xfId="0" applyNumberFormat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169" fontId="52" fillId="0" borderId="0" xfId="0" applyNumberFormat="1" applyFont="1" applyAlignment="1">
      <alignment vertical="center"/>
    </xf>
    <xf numFmtId="169" fontId="9" fillId="0" borderId="0" xfId="0" applyNumberFormat="1" applyFont="1" applyBorder="1" applyAlignment="1">
      <alignment vertical="center"/>
    </xf>
    <xf numFmtId="9" fontId="52" fillId="0" borderId="0" xfId="18" applyFont="1" applyAlignment="1">
      <alignment vertical="center"/>
    </xf>
    <xf numFmtId="0" fontId="9" fillId="0" borderId="0" xfId="0" applyFont="1" applyBorder="1" applyAlignment="1">
      <alignment vertical="center"/>
    </xf>
    <xf numFmtId="169" fontId="9" fillId="0" borderId="6" xfId="0" applyNumberFormat="1" applyFont="1" applyBorder="1" applyAlignment="1">
      <alignment vertical="center"/>
    </xf>
    <xf numFmtId="169" fontId="9" fillId="0" borderId="0" xfId="0" applyNumberFormat="1" applyFont="1" applyFill="1" applyBorder="1" applyAlignment="1">
      <alignment vertical="center"/>
    </xf>
    <xf numFmtId="169" fontId="30" fillId="0" borderId="2" xfId="0" applyNumberFormat="1" applyFont="1" applyFill="1" applyBorder="1" applyAlignment="1">
      <alignment horizontal="right" vertical="center"/>
    </xf>
    <xf numFmtId="169" fontId="34" fillId="7" borderId="20" xfId="0" applyNumberFormat="1" applyFont="1" applyFill="1" applyBorder="1" applyAlignment="1">
      <alignment horizontal="center" vertical="center"/>
    </xf>
    <xf numFmtId="185" fontId="9" fillId="0" borderId="0" xfId="18" applyNumberFormat="1" applyFont="1" applyAlignment="1">
      <alignment vertical="center"/>
    </xf>
    <xf numFmtId="169" fontId="22" fillId="0" borderId="41" xfId="0" applyNumberFormat="1" applyFont="1" applyBorder="1" applyAlignment="1">
      <alignment horizontal="right" vertical="center"/>
    </xf>
    <xf numFmtId="169" fontId="9" fillId="0" borderId="8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left" vertical="center"/>
    </xf>
    <xf numFmtId="3" fontId="30" fillId="0" borderId="7" xfId="0" applyNumberFormat="1" applyFont="1" applyBorder="1" applyAlignment="1">
      <alignment horizontal="left" vertical="center"/>
    </xf>
    <xf numFmtId="169" fontId="22" fillId="0" borderId="2" xfId="0" applyNumberFormat="1" applyFont="1" applyBorder="1" applyAlignment="1">
      <alignment horizontal="right" vertical="center"/>
    </xf>
    <xf numFmtId="3" fontId="9" fillId="0" borderId="4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69" fontId="9" fillId="0" borderId="2" xfId="0" applyNumberFormat="1" applyFont="1" applyBorder="1" applyAlignment="1">
      <alignment horizontal="right" vertical="center"/>
    </xf>
    <xf numFmtId="169" fontId="9" fillId="0" borderId="2" xfId="0" applyNumberFormat="1" applyFont="1" applyBorder="1" applyAlignment="1">
      <alignment vertical="center"/>
    </xf>
    <xf numFmtId="169" fontId="30" fillId="0" borderId="2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  <xf numFmtId="0" fontId="14" fillId="0" borderId="42" xfId="0" applyFont="1" applyFill="1" applyBorder="1" applyAlignment="1">
      <alignment horizontal="right" vertical="center"/>
    </xf>
    <xf numFmtId="170" fontId="9" fillId="0" borderId="0" xfId="18" applyNumberFormat="1" applyFont="1" applyFill="1" applyBorder="1" applyAlignment="1">
      <alignment vertical="center"/>
    </xf>
    <xf numFmtId="170" fontId="9" fillId="0" borderId="11" xfId="18" applyNumberFormat="1" applyFont="1" applyFill="1" applyBorder="1" applyAlignment="1">
      <alignment vertical="center"/>
    </xf>
    <xf numFmtId="0" fontId="10" fillId="5" borderId="42" xfId="0" applyFont="1" applyFill="1" applyBorder="1" applyAlignment="1">
      <alignment vertical="center"/>
    </xf>
    <xf numFmtId="169" fontId="10" fillId="5" borderId="0" xfId="0" applyNumberFormat="1" applyFont="1" applyFill="1" applyBorder="1" applyAlignment="1">
      <alignment vertical="center"/>
    </xf>
    <xf numFmtId="169" fontId="10" fillId="5" borderId="11" xfId="0" applyNumberFormat="1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9" fontId="9" fillId="0" borderId="0" xfId="18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5" fillId="0" borderId="42" xfId="0" applyFont="1" applyBorder="1" applyAlignment="1">
      <alignment horizontal="center" vertical="center"/>
    </xf>
    <xf numFmtId="169" fontId="9" fillId="0" borderId="11" xfId="0" applyNumberFormat="1" applyFont="1" applyFill="1" applyBorder="1" applyAlignment="1">
      <alignment vertical="center"/>
    </xf>
    <xf numFmtId="171" fontId="9" fillId="0" borderId="0" xfId="0" applyNumberFormat="1" applyFont="1" applyBorder="1" applyAlignment="1">
      <alignment vertical="center"/>
    </xf>
    <xf numFmtId="0" fontId="14" fillId="0" borderId="47" xfId="0" applyFont="1" applyFill="1" applyBorder="1" applyAlignment="1">
      <alignment horizontal="right" vertical="center"/>
    </xf>
    <xf numFmtId="169" fontId="15" fillId="0" borderId="48" xfId="0" applyNumberFormat="1" applyFont="1" applyBorder="1" applyAlignment="1">
      <alignment vertical="center"/>
    </xf>
    <xf numFmtId="170" fontId="14" fillId="0" borderId="48" xfId="18" applyNumberFormat="1" applyFont="1" applyBorder="1" applyAlignment="1">
      <alignment vertical="center"/>
    </xf>
    <xf numFmtId="170" fontId="14" fillId="0" borderId="21" xfId="18" applyNumberFormat="1" applyFont="1" applyBorder="1" applyAlignment="1">
      <alignment vertical="center"/>
    </xf>
    <xf numFmtId="169" fontId="12" fillId="0" borderId="0" xfId="0" applyNumberFormat="1" applyFont="1" applyFill="1" applyBorder="1"/>
    <xf numFmtId="0" fontId="12" fillId="5" borderId="6" xfId="0" applyFont="1" applyFill="1" applyBorder="1"/>
    <xf numFmtId="0" fontId="16" fillId="5" borderId="6" xfId="0" applyFont="1" applyFill="1" applyBorder="1"/>
    <xf numFmtId="3" fontId="12" fillId="5" borderId="6" xfId="0" applyNumberFormat="1" applyFont="1" applyFill="1" applyBorder="1"/>
    <xf numFmtId="0" fontId="12" fillId="5" borderId="49" xfId="0" applyFont="1" applyFill="1" applyBorder="1" applyAlignment="1">
      <alignment horizontal="center"/>
    </xf>
    <xf numFmtId="0" fontId="12" fillId="5" borderId="50" xfId="0" applyFont="1" applyFill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7" fillId="5" borderId="42" xfId="0" applyFont="1" applyFill="1" applyBorder="1"/>
    <xf numFmtId="0" fontId="13" fillId="0" borderId="42" xfId="0" applyFont="1" applyBorder="1"/>
    <xf numFmtId="0" fontId="13" fillId="0" borderId="0" xfId="0" applyFont="1" applyBorder="1"/>
    <xf numFmtId="169" fontId="13" fillId="0" borderId="0" xfId="0" applyNumberFormat="1" applyFont="1" applyBorder="1"/>
    <xf numFmtId="3" fontId="13" fillId="0" borderId="0" xfId="0" applyNumberFormat="1" applyFont="1" applyBorder="1"/>
    <xf numFmtId="3" fontId="13" fillId="0" borderId="11" xfId="0" applyNumberFormat="1" applyFont="1" applyBorder="1"/>
    <xf numFmtId="0" fontId="18" fillId="0" borderId="0" xfId="0" applyFont="1" applyBorder="1" applyAlignment="1">
      <alignment horizontal="left"/>
    </xf>
    <xf numFmtId="170" fontId="18" fillId="0" borderId="0" xfId="18" applyNumberFormat="1" applyFont="1" applyBorder="1"/>
    <xf numFmtId="170" fontId="18" fillId="0" borderId="11" xfId="18" applyNumberFormat="1" applyFont="1" applyBorder="1"/>
    <xf numFmtId="0" fontId="12" fillId="5" borderId="42" xfId="0" applyFont="1" applyFill="1" applyBorder="1"/>
    <xf numFmtId="0" fontId="16" fillId="5" borderId="0" xfId="0" applyFont="1" applyFill="1" applyBorder="1"/>
    <xf numFmtId="169" fontId="12" fillId="5" borderId="0" xfId="0" applyNumberFormat="1" applyFont="1" applyFill="1" applyBorder="1"/>
    <xf numFmtId="169" fontId="12" fillId="5" borderId="11" xfId="0" applyNumberFormat="1" applyFont="1" applyFill="1" applyBorder="1"/>
    <xf numFmtId="0" fontId="18" fillId="0" borderId="42" xfId="0" applyFont="1" applyBorder="1"/>
    <xf numFmtId="0" fontId="18" fillId="0" borderId="0" xfId="0" applyFont="1" applyBorder="1"/>
    <xf numFmtId="170" fontId="13" fillId="0" borderId="0" xfId="18" applyNumberFormat="1" applyFont="1" applyBorder="1"/>
    <xf numFmtId="170" fontId="13" fillId="0" borderId="11" xfId="18" applyNumberFormat="1" applyFont="1" applyBorder="1"/>
    <xf numFmtId="0" fontId="13" fillId="0" borderId="47" xfId="0" applyFont="1" applyBorder="1"/>
    <xf numFmtId="0" fontId="18" fillId="0" borderId="48" xfId="0" applyFont="1" applyBorder="1"/>
    <xf numFmtId="9" fontId="18" fillId="0" borderId="48" xfId="18" applyFont="1" applyBorder="1"/>
    <xf numFmtId="9" fontId="18" fillId="0" borderId="21" xfId="18" applyFont="1" applyBorder="1"/>
    <xf numFmtId="0" fontId="1" fillId="0" borderId="42" xfId="16" applyBorder="1"/>
    <xf numFmtId="0" fontId="18" fillId="0" borderId="0" xfId="0" applyFont="1" applyBorder="1" applyAlignment="1">
      <alignment horizontal="right"/>
    </xf>
    <xf numFmtId="169" fontId="13" fillId="0" borderId="0" xfId="18" applyNumberFormat="1" applyFont="1" applyBorder="1"/>
    <xf numFmtId="169" fontId="18" fillId="0" borderId="0" xfId="18" applyNumberFormat="1" applyFont="1" applyBorder="1"/>
    <xf numFmtId="169" fontId="18" fillId="0" borderId="11" xfId="18" applyNumberFormat="1" applyFont="1" applyBorder="1"/>
    <xf numFmtId="169" fontId="13" fillId="0" borderId="11" xfId="18" applyNumberFormat="1" applyFont="1" applyBorder="1"/>
    <xf numFmtId="9" fontId="18" fillId="0" borderId="0" xfId="18" applyFont="1" applyBorder="1"/>
    <xf numFmtId="9" fontId="18" fillId="0" borderId="11" xfId="18" applyFont="1" applyBorder="1"/>
    <xf numFmtId="3" fontId="12" fillId="5" borderId="0" xfId="0" applyNumberFormat="1" applyFont="1" applyFill="1" applyBorder="1"/>
    <xf numFmtId="3" fontId="12" fillId="5" borderId="11" xfId="0" applyNumberFormat="1" applyFont="1" applyFill="1" applyBorder="1"/>
    <xf numFmtId="0" fontId="1" fillId="0" borderId="47" xfId="16" applyBorder="1"/>
    <xf numFmtId="169" fontId="1" fillId="0" borderId="48" xfId="16" applyNumberFormat="1" applyBorder="1"/>
    <xf numFmtId="170" fontId="43" fillId="0" borderId="48" xfId="18" applyNumberFormat="1" applyFont="1" applyBorder="1"/>
    <xf numFmtId="170" fontId="43" fillId="0" borderId="21" xfId="18" applyNumberFormat="1" applyFont="1" applyBorder="1"/>
    <xf numFmtId="0" fontId="15" fillId="0" borderId="6" xfId="0" applyFont="1" applyBorder="1"/>
    <xf numFmtId="169" fontId="9" fillId="0" borderId="6" xfId="0" applyNumberFormat="1" applyFont="1" applyBorder="1"/>
    <xf numFmtId="0" fontId="9" fillId="0" borderId="42" xfId="0" applyFont="1" applyBorder="1"/>
    <xf numFmtId="0" fontId="9" fillId="0" borderId="11" xfId="0" applyFont="1" applyBorder="1"/>
    <xf numFmtId="169" fontId="9" fillId="0" borderId="0" xfId="0" applyNumberFormat="1" applyFont="1" applyBorder="1"/>
    <xf numFmtId="169" fontId="9" fillId="0" borderId="11" xfId="0" applyNumberFormat="1" applyFont="1" applyBorder="1"/>
    <xf numFmtId="0" fontId="14" fillId="0" borderId="42" xfId="0" applyFont="1" applyBorder="1"/>
    <xf numFmtId="169" fontId="14" fillId="0" borderId="0" xfId="0" applyNumberFormat="1" applyFont="1" applyBorder="1"/>
    <xf numFmtId="170" fontId="14" fillId="0" borderId="0" xfId="18" applyNumberFormat="1" applyFont="1" applyBorder="1"/>
    <xf numFmtId="170" fontId="14" fillId="0" borderId="11" xfId="18" applyNumberFormat="1" applyFont="1" applyBorder="1"/>
    <xf numFmtId="169" fontId="15" fillId="0" borderId="11" xfId="0" applyNumberFormat="1" applyFont="1" applyBorder="1"/>
    <xf numFmtId="170" fontId="9" fillId="0" borderId="0" xfId="18" applyNumberFormat="1" applyFont="1" applyBorder="1"/>
    <xf numFmtId="170" fontId="9" fillId="0" borderId="11" xfId="18" applyNumberFormat="1" applyFont="1" applyBorder="1"/>
    <xf numFmtId="168" fontId="9" fillId="0" borderId="0" xfId="0" applyNumberFormat="1" applyFont="1" applyBorder="1"/>
    <xf numFmtId="0" fontId="10" fillId="5" borderId="51" xfId="0" applyFont="1" applyFill="1" applyBorder="1"/>
    <xf numFmtId="169" fontId="10" fillId="5" borderId="52" xfId="0" applyNumberFormat="1" applyFont="1" applyFill="1" applyBorder="1"/>
    <xf numFmtId="0" fontId="15" fillId="0" borderId="42" xfId="0" applyFont="1" applyBorder="1"/>
    <xf numFmtId="0" fontId="10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42" xfId="0" applyFont="1" applyFill="1" applyBorder="1"/>
    <xf numFmtId="0" fontId="13" fillId="0" borderId="0" xfId="0" applyFont="1" applyFill="1" applyBorder="1"/>
    <xf numFmtId="0" fontId="13" fillId="0" borderId="11" xfId="0" applyFont="1" applyFill="1" applyBorder="1"/>
    <xf numFmtId="0" fontId="15" fillId="0" borderId="53" xfId="0" applyFont="1" applyBorder="1"/>
    <xf numFmtId="0" fontId="15" fillId="0" borderId="6" xfId="0" applyFont="1" applyFill="1" applyBorder="1" applyAlignment="1"/>
    <xf numFmtId="0" fontId="15" fillId="0" borderId="6" xfId="0" applyFont="1" applyFill="1" applyBorder="1"/>
    <xf numFmtId="169" fontId="15" fillId="0" borderId="6" xfId="0" applyNumberFormat="1" applyFont="1" applyBorder="1"/>
    <xf numFmtId="169" fontId="9" fillId="0" borderId="54" xfId="0" applyNumberFormat="1" applyFont="1" applyBorder="1"/>
    <xf numFmtId="0" fontId="14" fillId="0" borderId="1" xfId="0" applyFont="1" applyBorder="1"/>
    <xf numFmtId="170" fontId="14" fillId="0" borderId="1" xfId="18" applyNumberFormat="1" applyFont="1" applyBorder="1"/>
    <xf numFmtId="169" fontId="9" fillId="0" borderId="42" xfId="0" applyNumberFormat="1" applyFont="1" applyBorder="1" applyAlignment="1">
      <alignment vertical="center"/>
    </xf>
    <xf numFmtId="169" fontId="9" fillId="0" borderId="11" xfId="0" applyNumberFormat="1" applyFont="1" applyBorder="1" applyAlignment="1">
      <alignment vertical="center"/>
    </xf>
    <xf numFmtId="1" fontId="10" fillId="5" borderId="11" xfId="0" applyNumberFormat="1" applyFont="1" applyFill="1" applyBorder="1" applyAlignment="1">
      <alignment horizontal="center" vertical="center"/>
    </xf>
    <xf numFmtId="170" fontId="9" fillId="0" borderId="0" xfId="18" applyNumberFormat="1" applyFont="1" applyBorder="1" applyAlignment="1">
      <alignment vertical="center"/>
    </xf>
    <xf numFmtId="10" fontId="9" fillId="0" borderId="0" xfId="18" applyNumberFormat="1" applyFont="1" applyBorder="1" applyAlignment="1">
      <alignment vertical="center"/>
    </xf>
    <xf numFmtId="10" fontId="9" fillId="0" borderId="11" xfId="18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169" fontId="9" fillId="0" borderId="54" xfId="0" applyNumberFormat="1" applyFont="1" applyBorder="1" applyAlignment="1">
      <alignment vertical="center"/>
    </xf>
    <xf numFmtId="0" fontId="10" fillId="5" borderId="55" xfId="0" applyFont="1" applyFill="1" applyBorder="1" applyAlignment="1">
      <alignment vertical="center"/>
    </xf>
    <xf numFmtId="169" fontId="10" fillId="5" borderId="56" xfId="0" applyNumberFormat="1" applyFont="1" applyFill="1" applyBorder="1" applyAlignment="1">
      <alignment vertical="center"/>
    </xf>
    <xf numFmtId="169" fontId="10" fillId="5" borderId="57" xfId="0" applyNumberFormat="1" applyFont="1" applyFill="1" applyBorder="1" applyAlignment="1">
      <alignment vertical="center"/>
    </xf>
    <xf numFmtId="169" fontId="10" fillId="5" borderId="42" xfId="0" applyNumberFormat="1" applyFont="1" applyFill="1" applyBorder="1" applyAlignment="1">
      <alignment horizontal="left" vertical="center"/>
    </xf>
    <xf numFmtId="0" fontId="10" fillId="5" borderId="42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/>
    </xf>
    <xf numFmtId="0" fontId="38" fillId="0" borderId="12" xfId="15" applyFont="1" applyFill="1" applyBorder="1" applyAlignment="1">
      <alignment horizontal="left" vertical="center" wrapText="1"/>
    </xf>
    <xf numFmtId="9" fontId="14" fillId="0" borderId="1" xfId="18" applyNumberFormat="1" applyFont="1" applyBorder="1"/>
    <xf numFmtId="9" fontId="14" fillId="0" borderId="58" xfId="18" applyNumberFormat="1" applyFont="1" applyBorder="1"/>
    <xf numFmtId="9" fontId="14" fillId="0" borderId="0" xfId="18" applyNumberFormat="1" applyFont="1" applyBorder="1"/>
    <xf numFmtId="9" fontId="14" fillId="0" borderId="11" xfId="18" applyNumberFormat="1" applyFont="1" applyBorder="1"/>
    <xf numFmtId="49" fontId="10" fillId="5" borderId="51" xfId="0" applyNumberFormat="1" applyFont="1" applyFill="1" applyBorder="1" applyAlignment="1">
      <alignment horizontal="left" vertical="center"/>
    </xf>
    <xf numFmtId="0" fontId="10" fillId="5" borderId="6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8" xfId="0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14" fillId="0" borderId="55" xfId="0" applyFont="1" applyBorder="1"/>
    <xf numFmtId="0" fontId="14" fillId="0" borderId="56" xfId="0" applyFont="1" applyBorder="1"/>
    <xf numFmtId="9" fontId="14" fillId="0" borderId="56" xfId="18" applyNumberFormat="1" applyFont="1" applyBorder="1"/>
    <xf numFmtId="9" fontId="14" fillId="0" borderId="57" xfId="18" applyNumberFormat="1" applyFont="1" applyBorder="1"/>
    <xf numFmtId="0" fontId="9" fillId="0" borderId="50" xfId="0" applyFont="1" applyBorder="1"/>
    <xf numFmtId="0" fontId="9" fillId="0" borderId="50" xfId="0" applyFont="1" applyFill="1" applyBorder="1"/>
    <xf numFmtId="169" fontId="9" fillId="0" borderId="50" xfId="0" applyNumberFormat="1" applyFont="1" applyBorder="1"/>
    <xf numFmtId="9" fontId="9" fillId="0" borderId="2" xfId="18" applyNumberFormat="1" applyFont="1" applyBorder="1" applyAlignment="1">
      <alignment vertical="center"/>
    </xf>
    <xf numFmtId="175" fontId="9" fillId="0" borderId="2" xfId="2" applyNumberFormat="1" applyFont="1" applyBorder="1" applyAlignment="1">
      <alignment vertical="center"/>
    </xf>
    <xf numFmtId="168" fontId="53" fillId="0" borderId="0" xfId="15" applyNumberFormat="1" applyFont="1" applyAlignment="1">
      <alignment vertical="center"/>
    </xf>
    <xf numFmtId="2" fontId="38" fillId="0" borderId="0" xfId="15" applyNumberFormat="1" applyFont="1" applyAlignment="1">
      <alignment vertical="center"/>
    </xf>
    <xf numFmtId="3" fontId="38" fillId="0" borderId="0" xfId="15" applyNumberFormat="1" applyFont="1" applyAlignment="1">
      <alignment vertical="center"/>
    </xf>
    <xf numFmtId="0" fontId="53" fillId="0" borderId="0" xfId="15" applyFont="1" applyAlignment="1">
      <alignment horizontal="center" vertical="center"/>
    </xf>
    <xf numFmtId="1" fontId="38" fillId="0" borderId="0" xfId="15" applyNumberFormat="1" applyFont="1" applyAlignment="1">
      <alignment vertical="center"/>
    </xf>
    <xf numFmtId="187" fontId="35" fillId="0" borderId="35" xfId="0" applyNumberFormat="1" applyFont="1" applyBorder="1" applyAlignment="1">
      <alignment vertical="center"/>
    </xf>
    <xf numFmtId="0" fontId="53" fillId="0" borderId="0" xfId="15" applyFont="1" applyAlignment="1">
      <alignment horizontal="right" vertical="center"/>
    </xf>
    <xf numFmtId="0" fontId="53" fillId="0" borderId="0" xfId="15" applyFont="1" applyAlignment="1">
      <alignment vertical="center"/>
    </xf>
    <xf numFmtId="0" fontId="53" fillId="0" borderId="0" xfId="15" applyFont="1" applyFill="1" applyBorder="1" applyAlignment="1">
      <alignment vertical="center"/>
    </xf>
    <xf numFmtId="3" fontId="53" fillId="0" borderId="0" xfId="15" applyNumberFormat="1" applyFont="1" applyAlignment="1">
      <alignment horizontal="center" vertical="center"/>
    </xf>
    <xf numFmtId="2" fontId="35" fillId="0" borderId="28" xfId="2" applyNumberFormat="1" applyFont="1" applyBorder="1" applyAlignment="1">
      <alignment horizontal="center" vertical="center"/>
    </xf>
    <xf numFmtId="0" fontId="39" fillId="6" borderId="59" xfId="15" applyFont="1" applyFill="1" applyBorder="1" applyAlignment="1">
      <alignment horizontal="left" vertical="center" wrapText="1"/>
    </xf>
    <xf numFmtId="0" fontId="39" fillId="6" borderId="35" xfId="15" applyFont="1" applyFill="1" applyBorder="1" applyAlignment="1">
      <alignment horizontal="left" vertical="center" wrapText="1"/>
    </xf>
    <xf numFmtId="0" fontId="39" fillId="6" borderId="60" xfId="15" applyFont="1" applyFill="1" applyBorder="1" applyAlignment="1">
      <alignment horizontal="left" vertical="center" wrapText="1"/>
    </xf>
    <xf numFmtId="0" fontId="36" fillId="5" borderId="49" xfId="15" applyFont="1" applyFill="1" applyBorder="1" applyAlignment="1">
      <alignment horizontal="center" vertical="center"/>
    </xf>
    <xf numFmtId="0" fontId="36" fillId="5" borderId="50" xfId="15" applyFont="1" applyFill="1" applyBorder="1" applyAlignment="1">
      <alignment horizontal="center" vertical="center"/>
    </xf>
    <xf numFmtId="0" fontId="36" fillId="5" borderId="9" xfId="15" applyFont="1" applyFill="1" applyBorder="1" applyAlignment="1">
      <alignment horizontal="center" vertical="center"/>
    </xf>
    <xf numFmtId="0" fontId="36" fillId="5" borderId="0" xfId="15" applyFont="1" applyFill="1" applyBorder="1" applyAlignment="1">
      <alignment horizontal="center" vertical="center" wrapText="1"/>
    </xf>
    <xf numFmtId="0" fontId="36" fillId="5" borderId="5" xfId="15" applyFont="1" applyFill="1" applyBorder="1" applyAlignment="1">
      <alignment horizontal="center" vertical="center" wrapText="1"/>
    </xf>
    <xf numFmtId="0" fontId="36" fillId="5" borderId="42" xfId="15" applyFont="1" applyFill="1" applyBorder="1" applyAlignment="1">
      <alignment horizontal="right" vertical="center" wrapText="1"/>
    </xf>
    <xf numFmtId="0" fontId="36" fillId="5" borderId="13" xfId="15" applyFont="1" applyFill="1" applyBorder="1" applyAlignment="1">
      <alignment horizontal="right" vertical="center" wrapText="1"/>
    </xf>
    <xf numFmtId="0" fontId="42" fillId="5" borderId="42" xfId="15" applyFont="1" applyFill="1" applyBorder="1" applyAlignment="1">
      <alignment horizontal="right" vertical="center" wrapText="1"/>
    </xf>
    <xf numFmtId="0" fontId="42" fillId="5" borderId="13" xfId="15" applyFont="1" applyFill="1" applyBorder="1" applyAlignment="1">
      <alignment horizontal="right" vertical="center" wrapText="1"/>
    </xf>
    <xf numFmtId="0" fontId="39" fillId="6" borderId="5" xfId="15" applyFont="1" applyFill="1" applyBorder="1" applyAlignment="1">
      <alignment horizontal="left" vertical="center" wrapText="1"/>
    </xf>
    <xf numFmtId="0" fontId="39" fillId="6" borderId="10" xfId="15" applyFont="1" applyFill="1" applyBorder="1" applyAlignment="1">
      <alignment horizontal="left" vertical="center" wrapText="1"/>
    </xf>
    <xf numFmtId="0" fontId="23" fillId="5" borderId="61" xfId="0" applyFont="1" applyFill="1" applyBorder="1" applyAlignment="1">
      <alignment horizontal="center"/>
    </xf>
    <xf numFmtId="0" fontId="23" fillId="5" borderId="62" xfId="0" applyFont="1" applyFill="1" applyBorder="1" applyAlignment="1">
      <alignment horizontal="center"/>
    </xf>
    <xf numFmtId="0" fontId="23" fillId="5" borderId="63" xfId="0" applyFont="1" applyFill="1" applyBorder="1" applyAlignment="1">
      <alignment horizontal="center"/>
    </xf>
    <xf numFmtId="0" fontId="26" fillId="5" borderId="49" xfId="0" applyFont="1" applyFill="1" applyBorder="1" applyAlignment="1">
      <alignment horizontal="center" vertical="center"/>
    </xf>
    <xf numFmtId="0" fontId="26" fillId="5" borderId="50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8" fillId="5" borderId="42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169" fontId="23" fillId="5" borderId="61" xfId="0" applyNumberFormat="1" applyFont="1" applyFill="1" applyBorder="1" applyAlignment="1">
      <alignment horizontal="center" vertical="center"/>
    </xf>
    <xf numFmtId="169" fontId="23" fillId="5" borderId="62" xfId="0" applyNumberFormat="1" applyFont="1" applyFill="1" applyBorder="1" applyAlignment="1">
      <alignment horizontal="center" vertical="center"/>
    </xf>
    <xf numFmtId="169" fontId="23" fillId="5" borderId="63" xfId="0" applyNumberFormat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wrapText="1"/>
    </xf>
    <xf numFmtId="0" fontId="23" fillId="5" borderId="7" xfId="0" applyFont="1" applyFill="1" applyBorder="1" applyAlignment="1">
      <alignment horizontal="center"/>
    </xf>
  </cellXfs>
  <cellStyles count="28">
    <cellStyle name="Border" xfId="1"/>
    <cellStyle name="Grey" xfId="3"/>
    <cellStyle name="HeadBig" xfId="4"/>
    <cellStyle name="Input [yellow]" xfId="5"/>
    <cellStyle name="Migliaia (0)_BSbysite" xfId="6"/>
    <cellStyle name="Migliaia_BSbysite" xfId="7"/>
    <cellStyle name="Milliers [0]_CPT (2)" xfId="8"/>
    <cellStyle name="Milliers_CPT (2)" xfId="9"/>
    <cellStyle name="Monétaire [0]_CPT (2)" xfId="10"/>
    <cellStyle name="Monétaire_CPT (2)" xfId="11"/>
    <cellStyle name="Monιtaire [0]_laroux" xfId="12"/>
    <cellStyle name="Monιtaire_laroux" xfId="13"/>
    <cellStyle name="Normal - Style1" xfId="14"/>
    <cellStyle name="Normal_aiolika parka v4 residual" xfId="15"/>
    <cellStyle name="Normal_ALPHA TV Val D&amp;T v1" xfId="16"/>
    <cellStyle name="Normale_BSbysite" xfId="17"/>
    <cellStyle name="Percent [2]" xfId="19"/>
    <cellStyle name="takis" xfId="20"/>
    <cellStyle name="Tusental (0)_laroux" xfId="21"/>
    <cellStyle name="Tusental_laroux" xfId="22"/>
    <cellStyle name="Valuta (0)_BSbysite" xfId="23"/>
    <cellStyle name="Valuta_BSbysite" xfId="24"/>
    <cellStyle name="Wδhrung [0]_laroux" xfId="25"/>
    <cellStyle name="Wδhrung_laroux" xfId="26"/>
    <cellStyle name="Βασικό_ATV_WorkingSheets_Greek" xfId="27"/>
    <cellStyle name="Κανονικό" xfId="0" builtinId="0"/>
    <cellStyle name="Κόμμα" xfId="2" builtinId="3"/>
    <cellStyle name="Ποσοστό" xfId="1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YINDI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te/Ideal/Model/Ideal%20Telecom%20Plan%202000%20D&amp;T%20Mo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Finance/VALUATIONS/Excel%20Files/Eurobank/Eurobank%20Athinon%20Last%20Version%2014.12.1998/EFG%20EurobankVal9AdjDC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pex/High%20speed%20shaping/HS%20Shaping%20apprais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EVCAN/Logistic/PSI%20files/2001/Margin%20by%20customer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eFinance\WiP\Egnatia-TKE\Merger%2099\EGNATIA%20-%20TKE%2099\Egnatia%20Val%20VT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Finance/WiP/Egnatia-TKE/Merger%2099/EGNATIA%20-%20TKE%2099/Egnatia%20Val%20VT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LPHA%20Corporate%20Finance/Egnatia%20-%20TKE%20Valuation/Final%20merge%2099%20-31.3/&#917;gnatia%20Val%20VT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OS%20VPN%20Desig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EYINDI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WC"/>
      <sheetName val="Pipeline"/>
      <sheetName val="Income"/>
      <sheetName val="Telecom"/>
      <sheetName val="2000"/>
      <sheetName val="Inc An"/>
      <sheetName val="CashFlow"/>
      <sheetName val="Balance"/>
      <sheetName val="Bandwidth"/>
      <sheetName val="Op Exp"/>
      <sheetName val="Personnel"/>
      <sheetName val="Depr"/>
      <sheetName val="VPN Nat"/>
      <sheetName val="VPN Intl"/>
      <sheetName val="ISP Intl"/>
      <sheetName val="ISP Nat"/>
      <sheetName val="InterN"/>
      <sheetName val="VoIP"/>
      <sheetName val="Acropolis"/>
      <sheetName val="Data"/>
      <sheetName val="Map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S8">
            <v>0.25</v>
          </cell>
        </row>
        <row r="10">
          <cell r="S10">
            <v>2</v>
          </cell>
        </row>
        <row r="15">
          <cell r="S15">
            <v>100</v>
          </cell>
        </row>
        <row r="17">
          <cell r="S17">
            <v>100</v>
          </cell>
        </row>
        <row r="19">
          <cell r="S19">
            <v>2500000</v>
          </cell>
        </row>
        <row r="21">
          <cell r="S21">
            <v>75</v>
          </cell>
        </row>
        <row r="24">
          <cell r="S24">
            <v>30</v>
          </cell>
        </row>
        <row r="25">
          <cell r="S25">
            <v>2</v>
          </cell>
        </row>
        <row r="26">
          <cell r="S26">
            <v>30</v>
          </cell>
        </row>
        <row r="32">
          <cell r="S32">
            <v>25000</v>
          </cell>
        </row>
        <row r="33">
          <cell r="S33">
            <v>750</v>
          </cell>
        </row>
        <row r="34">
          <cell r="S34">
            <v>450</v>
          </cell>
        </row>
        <row r="35">
          <cell r="S35">
            <v>300</v>
          </cell>
        </row>
        <row r="36">
          <cell r="S36">
            <v>500</v>
          </cell>
        </row>
        <row r="37">
          <cell r="S37">
            <v>350</v>
          </cell>
        </row>
        <row r="38">
          <cell r="S38">
            <v>500</v>
          </cell>
        </row>
        <row r="39">
          <cell r="S39">
            <v>450</v>
          </cell>
        </row>
        <row r="40">
          <cell r="S40">
            <v>300</v>
          </cell>
        </row>
        <row r="41">
          <cell r="S41">
            <v>220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B13">
            <v>0.35</v>
          </cell>
        </row>
        <row r="14">
          <cell r="B14">
            <v>0.12</v>
          </cell>
        </row>
        <row r="24">
          <cell r="B24">
            <v>320</v>
          </cell>
        </row>
        <row r="34">
          <cell r="B34">
            <v>2</v>
          </cell>
        </row>
        <row r="35">
          <cell r="B35">
            <v>1999</v>
          </cell>
        </row>
        <row r="39">
          <cell r="B39">
            <v>32768</v>
          </cell>
          <cell r="D39">
            <v>0</v>
          </cell>
          <cell r="E39">
            <v>0.16</v>
          </cell>
          <cell r="F39">
            <v>0</v>
          </cell>
        </row>
        <row r="40">
          <cell r="B40">
            <v>28672</v>
          </cell>
          <cell r="D40">
            <v>500000</v>
          </cell>
          <cell r="E40">
            <v>0.19</v>
          </cell>
          <cell r="F40">
            <v>80000</v>
          </cell>
        </row>
        <row r="41">
          <cell r="B41">
            <v>24576</v>
          </cell>
          <cell r="D41">
            <v>1500000</v>
          </cell>
          <cell r="E41">
            <v>0.22</v>
          </cell>
          <cell r="F41">
            <v>270000</v>
          </cell>
        </row>
        <row r="42">
          <cell r="B42">
            <v>22528</v>
          </cell>
          <cell r="D42">
            <v>2700000</v>
          </cell>
          <cell r="E42">
            <v>0.25</v>
          </cell>
          <cell r="F42">
            <v>534000</v>
          </cell>
        </row>
        <row r="43">
          <cell r="B43">
            <v>20480</v>
          </cell>
          <cell r="D43">
            <v>4000000</v>
          </cell>
          <cell r="E43">
            <v>0.28000000000000003</v>
          </cell>
          <cell r="F43">
            <v>859000</v>
          </cell>
        </row>
        <row r="44">
          <cell r="B44">
            <v>18432</v>
          </cell>
          <cell r="D44">
            <v>6000000</v>
          </cell>
          <cell r="E44">
            <v>0.31</v>
          </cell>
          <cell r="F44">
            <v>1419000</v>
          </cell>
        </row>
        <row r="45">
          <cell r="B45">
            <v>16384</v>
          </cell>
          <cell r="D45">
            <v>10000000</v>
          </cell>
          <cell r="E45">
            <v>0.34</v>
          </cell>
          <cell r="F45">
            <v>2659000</v>
          </cell>
        </row>
        <row r="46">
          <cell r="B46">
            <v>14336</v>
          </cell>
        </row>
        <row r="47">
          <cell r="B47">
            <v>12288</v>
          </cell>
        </row>
        <row r="48">
          <cell r="B48">
            <v>10240</v>
          </cell>
        </row>
        <row r="49">
          <cell r="B49">
            <v>8192</v>
          </cell>
        </row>
        <row r="50">
          <cell r="B50">
            <v>6144</v>
          </cell>
        </row>
        <row r="51">
          <cell r="B51">
            <v>4096</v>
          </cell>
        </row>
        <row r="52">
          <cell r="B52">
            <v>2048</v>
          </cell>
        </row>
        <row r="53">
          <cell r="B53">
            <v>1024</v>
          </cell>
        </row>
        <row r="54">
          <cell r="B54">
            <v>768</v>
          </cell>
        </row>
        <row r="55">
          <cell r="B55">
            <v>512</v>
          </cell>
        </row>
        <row r="56">
          <cell r="B56">
            <v>384</v>
          </cell>
        </row>
        <row r="57">
          <cell r="B57">
            <v>256</v>
          </cell>
        </row>
        <row r="58">
          <cell r="B58">
            <v>192</v>
          </cell>
        </row>
        <row r="59">
          <cell r="B59">
            <v>128</v>
          </cell>
        </row>
        <row r="60">
          <cell r="B60">
            <v>64</v>
          </cell>
        </row>
      </sheetData>
      <sheetData sheetId="20">
        <row r="2">
          <cell r="A2" t="str">
            <v>Άγιος Νικόλαος</v>
          </cell>
          <cell r="B2">
            <v>17.2</v>
          </cell>
          <cell r="C2">
            <v>-30.7</v>
          </cell>
        </row>
        <row r="3">
          <cell r="A3" t="str">
            <v>Αγρίνιο</v>
          </cell>
          <cell r="B3">
            <v>-20</v>
          </cell>
          <cell r="C3">
            <v>7.2</v>
          </cell>
        </row>
        <row r="4">
          <cell r="A4" t="str">
            <v>Αθήνα</v>
          </cell>
          <cell r="B4">
            <v>0</v>
          </cell>
          <cell r="C4">
            <v>0</v>
          </cell>
        </row>
        <row r="5">
          <cell r="A5" t="str">
            <v>Αίγιο</v>
          </cell>
          <cell r="B5">
            <v>-14.4</v>
          </cell>
          <cell r="C5">
            <v>3</v>
          </cell>
        </row>
        <row r="6">
          <cell r="A6" t="str">
            <v>Αλεξανδρούπολι</v>
          </cell>
          <cell r="B6">
            <v>17.5</v>
          </cell>
          <cell r="C6">
            <v>31.5</v>
          </cell>
        </row>
        <row r="7">
          <cell r="A7" t="str">
            <v>Αμαλιάδα</v>
          </cell>
          <cell r="B7">
            <v>-20.7</v>
          </cell>
          <cell r="C7">
            <v>-2.1</v>
          </cell>
        </row>
        <row r="8">
          <cell r="A8" t="str">
            <v>Άμφισσα</v>
          </cell>
          <cell r="B8">
            <v>-11.8</v>
          </cell>
          <cell r="C8">
            <v>6</v>
          </cell>
        </row>
        <row r="9">
          <cell r="A9" t="str">
            <v>Άνδρος</v>
          </cell>
          <cell r="B9">
            <v>10.9</v>
          </cell>
          <cell r="C9">
            <v>-1.4</v>
          </cell>
        </row>
        <row r="10">
          <cell r="A10" t="str">
            <v>Άργος</v>
          </cell>
          <cell r="B10">
            <v>8.1999999999999993</v>
          </cell>
          <cell r="C10">
            <v>-4.3</v>
          </cell>
        </row>
        <row r="11">
          <cell r="A11" t="str">
            <v>Άρτα</v>
          </cell>
          <cell r="B11">
            <v>-23.6</v>
          </cell>
          <cell r="C11">
            <v>8.9</v>
          </cell>
        </row>
        <row r="12">
          <cell r="A12" t="str">
            <v>Βέροια</v>
          </cell>
          <cell r="B12">
            <v>-13.5</v>
          </cell>
          <cell r="C12">
            <v>28</v>
          </cell>
        </row>
        <row r="13">
          <cell r="A13" t="str">
            <v>Βόλος</v>
          </cell>
          <cell r="B13">
            <v>-7</v>
          </cell>
          <cell r="C13">
            <v>15.3</v>
          </cell>
        </row>
        <row r="14">
          <cell r="A14" t="str">
            <v>Γιαννιτσά</v>
          </cell>
          <cell r="B14">
            <v>-11.7</v>
          </cell>
          <cell r="C14">
            <v>30.7</v>
          </cell>
        </row>
        <row r="15">
          <cell r="A15" t="str">
            <v>Γύθειο</v>
          </cell>
          <cell r="B15">
            <v>-10.199999999999999</v>
          </cell>
          <cell r="C15">
            <v>-13.1</v>
          </cell>
        </row>
        <row r="16">
          <cell r="A16" t="str">
            <v>Διδυμότειχο</v>
          </cell>
          <cell r="B16">
            <v>22.7</v>
          </cell>
          <cell r="C16">
            <v>37</v>
          </cell>
        </row>
        <row r="17">
          <cell r="A17" t="str">
            <v>Δράμα</v>
          </cell>
          <cell r="B17">
            <v>2.8</v>
          </cell>
          <cell r="C17">
            <v>34.799999999999997</v>
          </cell>
        </row>
        <row r="18">
          <cell r="A18" t="str">
            <v>Έδεσσα</v>
          </cell>
          <cell r="B18">
            <v>-14.8</v>
          </cell>
          <cell r="C18">
            <v>30.9</v>
          </cell>
        </row>
        <row r="19">
          <cell r="A19" t="str">
            <v>Ηγουμενίτσα</v>
          </cell>
          <cell r="B19">
            <v>-29.6</v>
          </cell>
          <cell r="C19">
            <v>16.8</v>
          </cell>
        </row>
        <row r="20">
          <cell r="A20" t="str">
            <v>Ηράκλειο</v>
          </cell>
          <cell r="B20">
            <v>12.1</v>
          </cell>
          <cell r="C20">
            <v>-29.7</v>
          </cell>
        </row>
        <row r="21">
          <cell r="A21" t="str">
            <v>Θεσσαλονίκη</v>
          </cell>
          <cell r="B21">
            <v>-7.3</v>
          </cell>
          <cell r="C21">
            <v>29.1</v>
          </cell>
        </row>
        <row r="22">
          <cell r="A22" t="str">
            <v>Θήβα</v>
          </cell>
          <cell r="B22">
            <v>-3.3</v>
          </cell>
          <cell r="C22">
            <v>3.8</v>
          </cell>
        </row>
        <row r="23">
          <cell r="A23" t="str">
            <v>Ιεράπετρα</v>
          </cell>
          <cell r="B23">
            <v>18.100000000000001</v>
          </cell>
          <cell r="C23">
            <v>-32.799999999999997</v>
          </cell>
        </row>
        <row r="24">
          <cell r="A24" t="str">
            <v>Ικαρία</v>
          </cell>
          <cell r="B24">
            <v>22.9</v>
          </cell>
          <cell r="C24">
            <v>-4.7</v>
          </cell>
        </row>
        <row r="25">
          <cell r="A25" t="str">
            <v>Ιωάννινα</v>
          </cell>
          <cell r="B25">
            <v>-24.7</v>
          </cell>
          <cell r="C25">
            <v>18.399999999999999</v>
          </cell>
        </row>
        <row r="26">
          <cell r="A26" t="str">
            <v>Καβάλα</v>
          </cell>
          <cell r="B26">
            <v>5.0999999999999996</v>
          </cell>
          <cell r="C26">
            <v>32.4</v>
          </cell>
        </row>
        <row r="27">
          <cell r="A27" t="str">
            <v>Καλαμάτα</v>
          </cell>
          <cell r="B27">
            <v>-14.1</v>
          </cell>
          <cell r="C27">
            <v>-10.8</v>
          </cell>
        </row>
        <row r="28">
          <cell r="A28" t="str">
            <v>Κάλυμνος</v>
          </cell>
          <cell r="B28">
            <v>29.2</v>
          </cell>
          <cell r="C28">
            <v>-10.8</v>
          </cell>
        </row>
        <row r="29">
          <cell r="A29" t="str">
            <v>Καρδίτσα</v>
          </cell>
          <cell r="B29">
            <v>-15.1</v>
          </cell>
          <cell r="C29">
            <v>15.1</v>
          </cell>
        </row>
        <row r="30">
          <cell r="A30" t="str">
            <v>Καστοριά</v>
          </cell>
          <cell r="B30">
            <v>-21.2</v>
          </cell>
          <cell r="C30">
            <v>28</v>
          </cell>
        </row>
        <row r="31">
          <cell r="A31" t="str">
            <v>Κατερίνη</v>
          </cell>
          <cell r="B31">
            <v>-11</v>
          </cell>
          <cell r="C31">
            <v>24.9</v>
          </cell>
        </row>
        <row r="32">
          <cell r="A32" t="str">
            <v>Κέρκυρα</v>
          </cell>
          <cell r="B32">
            <v>-11.2</v>
          </cell>
          <cell r="C32">
            <v>33.5</v>
          </cell>
        </row>
        <row r="33">
          <cell r="A33" t="str">
            <v>Κιλκίς</v>
          </cell>
          <cell r="B33">
            <v>-7.7</v>
          </cell>
          <cell r="C33">
            <v>32.6</v>
          </cell>
        </row>
        <row r="34">
          <cell r="A34" t="str">
            <v>Κοζάνη</v>
          </cell>
          <cell r="B34">
            <v>-16.899999999999999</v>
          </cell>
          <cell r="C34">
            <v>25.5</v>
          </cell>
        </row>
        <row r="35">
          <cell r="A35" t="str">
            <v>Κομοτηνή</v>
          </cell>
          <cell r="B35">
            <v>13.4</v>
          </cell>
          <cell r="C35">
            <v>34.1</v>
          </cell>
        </row>
        <row r="36">
          <cell r="A36" t="str">
            <v>Κόρινθος</v>
          </cell>
          <cell r="B36">
            <v>-7.2</v>
          </cell>
          <cell r="C36">
            <v>-0.7</v>
          </cell>
        </row>
        <row r="37">
          <cell r="A37" t="str">
            <v>Κυπαρισσία</v>
          </cell>
          <cell r="B37">
            <v>-18</v>
          </cell>
          <cell r="C37">
            <v>-8.1999999999999993</v>
          </cell>
        </row>
        <row r="38">
          <cell r="A38" t="str">
            <v>Κως</v>
          </cell>
          <cell r="B38">
            <v>32</v>
          </cell>
          <cell r="C38">
            <v>-11.8</v>
          </cell>
        </row>
        <row r="39">
          <cell r="A39" t="str">
            <v>Λαμία</v>
          </cell>
          <cell r="B39">
            <v>-11.3</v>
          </cell>
          <cell r="C39">
            <v>10</v>
          </cell>
        </row>
        <row r="40">
          <cell r="A40" t="str">
            <v>Λάρισα</v>
          </cell>
          <cell r="B40">
            <v>-11.2</v>
          </cell>
          <cell r="C40">
            <v>18</v>
          </cell>
        </row>
        <row r="41">
          <cell r="A41" t="str">
            <v>Λήμνος</v>
          </cell>
          <cell r="B41">
            <v>11.5</v>
          </cell>
          <cell r="C41">
            <v>21</v>
          </cell>
        </row>
        <row r="42">
          <cell r="A42" t="str">
            <v>Λιβαδειά</v>
          </cell>
          <cell r="B42">
            <v>-7.5</v>
          </cell>
          <cell r="C42">
            <v>5</v>
          </cell>
        </row>
        <row r="43">
          <cell r="A43" t="str">
            <v>Λουτράκι</v>
          </cell>
          <cell r="B43">
            <v>-6.5</v>
          </cell>
          <cell r="C43">
            <v>-0.5</v>
          </cell>
        </row>
        <row r="44">
          <cell r="A44" t="str">
            <v>Μεσολόγγι</v>
          </cell>
          <cell r="B44">
            <v>-20</v>
          </cell>
          <cell r="C44">
            <v>4.4000000000000004</v>
          </cell>
        </row>
        <row r="45">
          <cell r="A45" t="str">
            <v>Μήλος</v>
          </cell>
          <cell r="B45">
            <v>6.2</v>
          </cell>
          <cell r="C45">
            <v>-13.1</v>
          </cell>
        </row>
        <row r="46">
          <cell r="A46" t="str">
            <v>Μύκονος</v>
          </cell>
          <cell r="B46">
            <v>14.4</v>
          </cell>
          <cell r="C46">
            <v>-5.5</v>
          </cell>
        </row>
        <row r="47">
          <cell r="A47" t="str">
            <v>Μυτιλήνη</v>
          </cell>
          <cell r="B47">
            <v>24.4</v>
          </cell>
          <cell r="C47">
            <v>12.4</v>
          </cell>
        </row>
        <row r="48">
          <cell r="A48" t="str">
            <v>Νάξος</v>
          </cell>
          <cell r="B48">
            <v>14.8</v>
          </cell>
          <cell r="C48">
            <v>-9.3000000000000007</v>
          </cell>
        </row>
        <row r="49">
          <cell r="A49" t="str">
            <v>Νάουσα</v>
          </cell>
          <cell r="B49">
            <v>-14.5</v>
          </cell>
          <cell r="C49">
            <v>28.9</v>
          </cell>
        </row>
        <row r="50">
          <cell r="A50" t="str">
            <v>Ναύπλιο</v>
          </cell>
          <cell r="B50">
            <v>-8</v>
          </cell>
          <cell r="C50">
            <v>-5</v>
          </cell>
        </row>
        <row r="51">
          <cell r="A51" t="str">
            <v>Ξάνθη</v>
          </cell>
          <cell r="B51">
            <v>9.1</v>
          </cell>
          <cell r="C51">
            <v>34.4</v>
          </cell>
        </row>
        <row r="52">
          <cell r="A52" t="str">
            <v>Ορεστιάδα</v>
          </cell>
          <cell r="B52">
            <v>22.9</v>
          </cell>
          <cell r="C52">
            <v>38.700000000000003</v>
          </cell>
        </row>
        <row r="53">
          <cell r="A53" t="str">
            <v>Πάρος</v>
          </cell>
          <cell r="B53">
            <v>12.2</v>
          </cell>
          <cell r="C53">
            <v>-9.5</v>
          </cell>
        </row>
        <row r="54">
          <cell r="A54" t="str">
            <v>Πάτρα</v>
          </cell>
          <cell r="B54">
            <v>-17.2</v>
          </cell>
          <cell r="C54">
            <v>-3.6</v>
          </cell>
        </row>
        <row r="55">
          <cell r="A55" t="str">
            <v>Πολύγυρος</v>
          </cell>
          <cell r="B55">
            <v>-3.1</v>
          </cell>
          <cell r="C55">
            <v>26</v>
          </cell>
        </row>
        <row r="56">
          <cell r="A56" t="str">
            <v>Πρέβεζα</v>
          </cell>
          <cell r="B56">
            <v>-25.7</v>
          </cell>
          <cell r="C56">
            <v>10.8</v>
          </cell>
        </row>
        <row r="57">
          <cell r="A57" t="str">
            <v>Πτολεμαίδα</v>
          </cell>
          <cell r="B57">
            <v>-20.5</v>
          </cell>
          <cell r="C57">
            <v>28</v>
          </cell>
        </row>
        <row r="58">
          <cell r="A58" t="str">
            <v>Πύργος</v>
          </cell>
          <cell r="B58">
            <v>-19.8</v>
          </cell>
          <cell r="C58">
            <v>-3.4</v>
          </cell>
        </row>
        <row r="59">
          <cell r="A59" t="str">
            <v>Ρέθυμνο</v>
          </cell>
          <cell r="B59">
            <v>6.2</v>
          </cell>
          <cell r="C59">
            <v>-29.4</v>
          </cell>
        </row>
        <row r="60">
          <cell r="A60" t="str">
            <v>Ρόδος</v>
          </cell>
          <cell r="B60">
            <v>40.200000000000003</v>
          </cell>
          <cell r="C60">
            <v>-16.8</v>
          </cell>
        </row>
        <row r="61">
          <cell r="A61" t="str">
            <v>Σάμος</v>
          </cell>
          <cell r="B61">
            <v>28.7</v>
          </cell>
          <cell r="C61">
            <v>-1.9</v>
          </cell>
        </row>
        <row r="62">
          <cell r="A62" t="str">
            <v>Σαντορίνη</v>
          </cell>
          <cell r="B62">
            <v>15.3</v>
          </cell>
          <cell r="C62">
            <v>-16.7</v>
          </cell>
        </row>
        <row r="63">
          <cell r="A63" t="str">
            <v>Σέρρες</v>
          </cell>
          <cell r="B63">
            <v>-2.2000000000000002</v>
          </cell>
          <cell r="C63">
            <v>34.299999999999997</v>
          </cell>
        </row>
        <row r="64">
          <cell r="A64" t="str">
            <v>Σπάρτη</v>
          </cell>
          <cell r="B64">
            <v>-11.2</v>
          </cell>
          <cell r="C64">
            <v>-10.1</v>
          </cell>
        </row>
        <row r="65">
          <cell r="A65" t="str">
            <v>Σύρος</v>
          </cell>
          <cell r="B65">
            <v>10.9</v>
          </cell>
          <cell r="C65">
            <v>-5.5</v>
          </cell>
        </row>
        <row r="66">
          <cell r="A66" t="str">
            <v>Τήνος</v>
          </cell>
          <cell r="B66">
            <v>13</v>
          </cell>
          <cell r="C66">
            <v>-5</v>
          </cell>
        </row>
        <row r="67">
          <cell r="A67" t="str">
            <v>Τρίκαλα</v>
          </cell>
          <cell r="B67">
            <v>-17.100000000000001</v>
          </cell>
          <cell r="C67">
            <v>17.2</v>
          </cell>
        </row>
        <row r="68">
          <cell r="A68" t="str">
            <v>Τρίπολι</v>
          </cell>
          <cell r="B68">
            <v>-11.7</v>
          </cell>
          <cell r="C68">
            <v>-5.0999999999999996</v>
          </cell>
        </row>
        <row r="69">
          <cell r="A69" t="str">
            <v>Φλώρινα</v>
          </cell>
          <cell r="B69">
            <v>-20</v>
          </cell>
          <cell r="C69">
            <v>30.7</v>
          </cell>
        </row>
        <row r="70">
          <cell r="A70" t="str">
            <v>Χαλκίδα</v>
          </cell>
          <cell r="B70">
            <v>-1</v>
          </cell>
          <cell r="C70">
            <v>5.4</v>
          </cell>
        </row>
        <row r="71">
          <cell r="A71" t="str">
            <v>Χανιά</v>
          </cell>
          <cell r="B71">
            <v>2.1</v>
          </cell>
          <cell r="C71">
            <v>-28.1</v>
          </cell>
        </row>
        <row r="72">
          <cell r="A72" t="str">
            <v>Χίος</v>
          </cell>
          <cell r="B72">
            <v>20</v>
          </cell>
          <cell r="C72">
            <v>4.4000000000000004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CF (2)"/>
      <sheetName val="EFG EUROBANK"/>
      <sheetName val="Sens. 2"/>
      <sheetName val="Sensitivity"/>
      <sheetName val="Adjusted NBV"/>
      <sheetName val="TEFIN-MUTUAL FUNDS"/>
      <sheetName val="Cap Market Val"/>
      <sheetName val="Comp. Trans."/>
      <sheetName val="Valuation synthesis"/>
      <sheetName val="Sheet12"/>
      <sheetName val="Sheet13"/>
      <sheetName val="Sheet15"/>
      <sheetName val="Sheet16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pital flow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st lookup"/>
    </sheetNames>
    <sheetDataSet>
      <sheetData sheetId="0">
        <row r="12">
          <cell r="E12" t="str">
            <v>Botcherby15clAlu</v>
          </cell>
          <cell r="G12">
            <v>22.379114288770669</v>
          </cell>
          <cell r="H12">
            <v>11.410173136799997</v>
          </cell>
          <cell r="I12">
            <v>33.789287425570663</v>
          </cell>
          <cell r="J12">
            <v>2.0409911403298522</v>
          </cell>
        </row>
        <row r="13">
          <cell r="E13" t="str">
            <v>Botcherby200</v>
          </cell>
          <cell r="G13">
            <v>9.2409035714258891</v>
          </cell>
          <cell r="H13">
            <v>3.69107614224</v>
          </cell>
          <cell r="I13">
            <v>12.931979713665889</v>
          </cell>
          <cell r="J13">
            <v>0.16899926639673934</v>
          </cell>
        </row>
        <row r="14">
          <cell r="E14" t="str">
            <v>Botcherby202</v>
          </cell>
          <cell r="G14">
            <v>10.861121054349228</v>
          </cell>
          <cell r="H14">
            <v>2.0063525918399998</v>
          </cell>
          <cell r="I14">
            <v>12.867473646189229</v>
          </cell>
          <cell r="J14">
            <v>0.19499915353469924</v>
          </cell>
        </row>
        <row r="15">
          <cell r="E15" t="str">
            <v>Botcherby206</v>
          </cell>
          <cell r="G15">
            <v>14.032770215918086</v>
          </cell>
          <cell r="H15">
            <v>2.6955576806399999</v>
          </cell>
          <cell r="I15">
            <v>16.728327896558085</v>
          </cell>
          <cell r="J15">
            <v>0</v>
          </cell>
        </row>
        <row r="16">
          <cell r="E16" t="str">
            <v>Botcherby20clAlu</v>
          </cell>
          <cell r="G16">
            <v>28.149247130924923</v>
          </cell>
          <cell r="H16">
            <v>14.733673231679997</v>
          </cell>
          <cell r="I16">
            <v>42.882920362604921</v>
          </cell>
          <cell r="J16">
            <v>2.4439893909682304</v>
          </cell>
        </row>
        <row r="17">
          <cell r="E17" t="str">
            <v>Botcherby25clAlu</v>
          </cell>
          <cell r="G17">
            <v>28.149247130924923</v>
          </cell>
          <cell r="H17">
            <v>14.733673231679997</v>
          </cell>
          <cell r="I17">
            <v>42.882920362604921</v>
          </cell>
          <cell r="J17">
            <v>2.4439893909682304</v>
          </cell>
        </row>
        <row r="18">
          <cell r="E18" t="str">
            <v>Botcherby44clAlu</v>
          </cell>
          <cell r="G18">
            <v>44.639761827645913</v>
          </cell>
          <cell r="H18">
            <v>18.10312033248</v>
          </cell>
          <cell r="I18">
            <v>62.742882160125916</v>
          </cell>
          <cell r="J18">
            <v>4.0039826192458241</v>
          </cell>
        </row>
        <row r="19">
          <cell r="E19" t="str">
            <v>Botcherby44clSteel</v>
          </cell>
          <cell r="G19">
            <v>37.772906362582859</v>
          </cell>
          <cell r="H19">
            <v>15.33098430864</v>
          </cell>
          <cell r="I19">
            <v>53.103890671222857</v>
          </cell>
          <cell r="J19">
            <v>3.8869831271250055</v>
          </cell>
        </row>
        <row r="20">
          <cell r="E20" t="str">
            <v>Botcherby50clAlu</v>
          </cell>
          <cell r="G20">
            <v>47.32321173737256</v>
          </cell>
          <cell r="H20">
            <v>18.10312033248</v>
          </cell>
          <cell r="I20">
            <v>65.426332069852563</v>
          </cell>
          <cell r="J20">
            <v>5.0439781047642205</v>
          </cell>
        </row>
        <row r="21">
          <cell r="E21" t="str">
            <v>Botcherby50clSteel</v>
          </cell>
          <cell r="G21">
            <v>38.633882766776779</v>
          </cell>
          <cell r="H21">
            <v>16.188661752479998</v>
          </cell>
          <cell r="I21">
            <v>54.82254451925678</v>
          </cell>
          <cell r="J21">
            <v>5.5249760168164785</v>
          </cell>
        </row>
        <row r="22">
          <cell r="E22" t="str">
            <v>Braunstone33clAlu</v>
          </cell>
          <cell r="G22">
            <v>36.769723960817451</v>
          </cell>
          <cell r="H22">
            <v>13.339947385439999</v>
          </cell>
          <cell r="I22">
            <v>50.10967134625745</v>
          </cell>
          <cell r="J22">
            <v>2.1502258076900729</v>
          </cell>
        </row>
        <row r="23">
          <cell r="E23" t="str">
            <v>Braunstone33clSteel</v>
          </cell>
          <cell r="G23">
            <v>29.307131079510668</v>
          </cell>
          <cell r="H23">
            <v>14.366097184319997</v>
          </cell>
          <cell r="I23">
            <v>43.673228263830666</v>
          </cell>
          <cell r="J23">
            <v>2.3913726272440998</v>
          </cell>
        </row>
        <row r="24">
          <cell r="E24" t="str">
            <v>Greece202</v>
          </cell>
          <cell r="G24">
            <v>10.224375506511999</v>
          </cell>
          <cell r="H24">
            <v>1.9820905861999993</v>
          </cell>
          <cell r="I24">
            <v>12.206466092711999</v>
          </cell>
        </row>
        <row r="25">
          <cell r="E25" t="str">
            <v>Greece33clAlu</v>
          </cell>
          <cell r="G25">
            <v>31.87656525835871</v>
          </cell>
          <cell r="H25">
            <v>8.8380232324699985</v>
          </cell>
          <cell r="I25">
            <v>40.71458849082871</v>
          </cell>
          <cell r="J25">
            <v>1.7888966569799998</v>
          </cell>
        </row>
        <row r="26">
          <cell r="E26" t="str">
            <v>Greece35,5clAlu</v>
          </cell>
          <cell r="G26">
            <v>40.859934268501995</v>
          </cell>
          <cell r="H26">
            <v>11.301482655579999</v>
          </cell>
          <cell r="I26">
            <v>52.16141692408199</v>
          </cell>
          <cell r="J26">
            <v>19.485950941739997</v>
          </cell>
        </row>
        <row r="27">
          <cell r="E27" t="str">
            <v>Greece50clAlu</v>
          </cell>
          <cell r="G27">
            <v>43.577983949419995</v>
          </cell>
          <cell r="H27">
            <v>13.918349314669998</v>
          </cell>
          <cell r="I27">
            <v>57.496333264089991</v>
          </cell>
          <cell r="J27">
            <v>2.1130411871999999</v>
          </cell>
        </row>
        <row r="28">
          <cell r="E28" t="str">
            <v>GreecePatras33clAlu</v>
          </cell>
          <cell r="G28">
            <v>32.620921657882242</v>
          </cell>
          <cell r="H28">
            <v>7.3535170682399986</v>
          </cell>
          <cell r="I28">
            <v>39.974438726122244</v>
          </cell>
          <cell r="J28">
            <v>0.50115073620999995</v>
          </cell>
        </row>
        <row r="29">
          <cell r="E29" t="str">
            <v>Lorraine33clSteel</v>
          </cell>
          <cell r="G29">
            <v>24.671512915370965</v>
          </cell>
          <cell r="H29">
            <v>10.77479985431</v>
          </cell>
          <cell r="I29">
            <v>35.446312769680965</v>
          </cell>
          <cell r="J29">
            <v>2.7972645958720741</v>
          </cell>
        </row>
        <row r="30">
          <cell r="E30" t="str">
            <v>Lorraine50clSteel</v>
          </cell>
          <cell r="G30">
            <v>32.150123387055181</v>
          </cell>
          <cell r="H30">
            <v>18.21398052444</v>
          </cell>
          <cell r="I30">
            <v>50.364103911495178</v>
          </cell>
          <cell r="J30">
            <v>4.7339741414989192</v>
          </cell>
        </row>
        <row r="31">
          <cell r="E31" t="str">
            <v>Nafcel206</v>
          </cell>
          <cell r="G31">
            <v>18.73</v>
          </cell>
          <cell r="H31">
            <v>0</v>
          </cell>
          <cell r="I31">
            <v>18.73</v>
          </cell>
          <cell r="J31">
            <v>18</v>
          </cell>
        </row>
        <row r="32">
          <cell r="E32" t="str">
            <v>Spain33clSteel</v>
          </cell>
          <cell r="G32">
            <v>23.742023549002575</v>
          </cell>
          <cell r="H32">
            <v>8.028977481510001</v>
          </cell>
          <cell r="I32">
            <v>31.771001030512576</v>
          </cell>
          <cell r="J32">
            <v>2.8926085899300005</v>
          </cell>
        </row>
        <row r="33">
          <cell r="E33" t="str">
            <v>Turkey33clAlu</v>
          </cell>
          <cell r="G33">
            <v>35.25</v>
          </cell>
          <cell r="H33">
            <v>13.02</v>
          </cell>
          <cell r="I33">
            <v>48.269999999999996</v>
          </cell>
          <cell r="J33">
            <v>3.3739041794087665</v>
          </cell>
        </row>
        <row r="34">
          <cell r="E34" t="str">
            <v>Turkey50clAlu</v>
          </cell>
          <cell r="G34">
            <v>45.31</v>
          </cell>
          <cell r="H34">
            <v>16.12</v>
          </cell>
          <cell r="I34">
            <v>61.430000000000007</v>
          </cell>
          <cell r="J34">
            <v>4.1374719673802245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ΕΓΝΑΤΙΑ"/>
      <sheetName val="Adjusted NBV"/>
      <sheetName val="Cap Market Val"/>
      <sheetName val="Comp. Trans."/>
      <sheetName val="Valuation synthesi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ΕΓΝΑΤΙΑ"/>
      <sheetName val="Adjusted NBV"/>
      <sheetName val="Cap Market Val"/>
      <sheetName val="Comp. Trans."/>
      <sheetName val="Valuation synthesi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998FIN"/>
      <sheetName val="ΕΓΝΑΤΙΑ"/>
      <sheetName val="Multiples Present"/>
      <sheetName val="Adjusted NBV"/>
      <sheetName val="AXE - AEDAK"/>
      <sheetName val="Cap Market Val"/>
      <sheetName val="comp-trans"/>
      <sheetName val="Comp. Trans."/>
      <sheetName val="Valuation synthesis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XXXXXXX"/>
      <sheetName val="Capture"/>
      <sheetName val="Design"/>
      <sheetName val="Perform"/>
      <sheetName val="Avail"/>
      <sheetName val="Expenses"/>
      <sheetName val="Billing"/>
      <sheetName val="Intl"/>
      <sheetName val="C-B"/>
      <sheetName val="Sensitivity"/>
      <sheetName val="Access"/>
      <sheetName val="ALC"/>
      <sheetName val="Data"/>
      <sheetName val="Trunk"/>
      <sheetName val="Net"/>
      <sheetName val="IDEAL"/>
      <sheetName val="CUSTOMER"/>
      <sheetName val="COST-BEN"/>
      <sheetName val="GIOS VPN Design"/>
      <sheetName val="Sub details"/>
      <sheetName val="Controls"/>
      <sheetName val="ACT_Yearly"/>
      <sheetName val="Peer Group data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oval" w="sm" len="lg"/>
          <a:tailEnd type="stealth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oval" w="sm" len="lg"/>
          <a:tailEnd type="stealth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tabSelected="1" zoomScaleNormal="100" zoomScaleSheetLayoutView="85" workbookViewId="0">
      <pane xSplit="1" ySplit="5" topLeftCell="B6" activePane="bottomRight" state="frozen"/>
      <selection activeCell="F51" sqref="F51"/>
      <selection pane="topRight" activeCell="F51" sqref="F51"/>
      <selection pane="bottomLeft" activeCell="F51" sqref="F51"/>
      <selection pane="bottomRight" activeCell="E11" sqref="E11"/>
    </sheetView>
  </sheetViews>
  <sheetFormatPr defaultColWidth="9.109375" defaultRowHeight="13.8" outlineLevelRow="1" outlineLevelCol="1"/>
  <cols>
    <col min="1" max="1" width="42.5546875" style="102" customWidth="1"/>
    <col min="2" max="2" width="27" style="102" hidden="1" customWidth="1" outlineLevel="1"/>
    <col min="3" max="3" width="15.6640625" style="102" customWidth="1" collapsed="1"/>
    <col min="4" max="7" width="15.6640625" style="102" customWidth="1"/>
    <col min="8" max="8" width="15.6640625" style="120" customWidth="1"/>
    <col min="9" max="12" width="15.6640625" style="102" customWidth="1"/>
    <col min="13" max="13" width="4" style="102" hidden="1" customWidth="1" outlineLevel="1"/>
    <col min="14" max="14" width="19.6640625" style="102" bestFit="1" customWidth="1" collapsed="1"/>
    <col min="15" max="16384" width="9.109375" style="102"/>
  </cols>
  <sheetData>
    <row r="1" spans="1:14" ht="21.75" customHeight="1" thickTop="1">
      <c r="A1" s="452" t="s">
        <v>116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4"/>
      <c r="M1" s="100"/>
    </row>
    <row r="2" spans="1:14" ht="21.75" customHeight="1">
      <c r="A2" s="209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7"/>
    </row>
    <row r="3" spans="1:14" s="105" customFormat="1" ht="34.5" customHeight="1" thickBot="1">
      <c r="A3" s="210"/>
      <c r="B3" s="455" t="s">
        <v>20</v>
      </c>
      <c r="C3" s="106" t="s">
        <v>87</v>
      </c>
      <c r="D3" s="106" t="s">
        <v>88</v>
      </c>
      <c r="E3" s="106" t="s">
        <v>89</v>
      </c>
      <c r="F3" s="106" t="s">
        <v>90</v>
      </c>
      <c r="G3" s="106" t="s">
        <v>91</v>
      </c>
      <c r="H3" s="106" t="s">
        <v>200</v>
      </c>
      <c r="I3" s="106" t="s">
        <v>201</v>
      </c>
      <c r="J3" s="106" t="s">
        <v>202</v>
      </c>
      <c r="K3" s="106" t="s">
        <v>203</v>
      </c>
      <c r="L3" s="107" t="s">
        <v>204</v>
      </c>
      <c r="M3" s="104">
        <v>2020</v>
      </c>
    </row>
    <row r="4" spans="1:14" s="105" customFormat="1" ht="17.25" customHeight="1" thickBot="1">
      <c r="A4" s="194"/>
      <c r="B4" s="456"/>
      <c r="C4" s="103">
        <v>2018</v>
      </c>
      <c r="D4" s="103">
        <f>C4+1</f>
        <v>2019</v>
      </c>
      <c r="E4" s="103">
        <f t="shared" ref="E4:K4" si="0">D4+1</f>
        <v>2020</v>
      </c>
      <c r="F4" s="103">
        <f t="shared" si="0"/>
        <v>2021</v>
      </c>
      <c r="G4" s="103">
        <f t="shared" si="0"/>
        <v>2022</v>
      </c>
      <c r="H4" s="103">
        <f t="shared" si="0"/>
        <v>2023</v>
      </c>
      <c r="I4" s="103">
        <f t="shared" si="0"/>
        <v>2024</v>
      </c>
      <c r="J4" s="103">
        <f t="shared" si="0"/>
        <v>2025</v>
      </c>
      <c r="K4" s="103">
        <f t="shared" si="0"/>
        <v>2026</v>
      </c>
      <c r="L4" s="276">
        <f>K4+1</f>
        <v>2027</v>
      </c>
      <c r="M4" s="107"/>
    </row>
    <row r="5" spans="1:14" s="105" customFormat="1" ht="29.25" customHeight="1" thickBot="1">
      <c r="A5" s="449" t="s">
        <v>136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1"/>
      <c r="M5" s="107"/>
    </row>
    <row r="6" spans="1:14" ht="20.100000000000001" customHeight="1">
      <c r="A6" s="108" t="s">
        <v>137</v>
      </c>
      <c r="B6" s="109"/>
      <c r="C6" s="173">
        <f>'Αποτ. Χρήσεως'!K26</f>
        <v>21994</v>
      </c>
      <c r="D6" s="173">
        <f>'Αποτ. Χρήσεως'!L26</f>
        <v>22494</v>
      </c>
      <c r="E6" s="173">
        <f>'Αποτ. Χρήσεως'!M26</f>
        <v>24400</v>
      </c>
      <c r="F6" s="173">
        <f>'Αποτ. Χρήσεως'!N26</f>
        <v>24909.035626870129</v>
      </c>
      <c r="G6" s="265">
        <f>'Αποτ. Χρήσεως'!O26</f>
        <v>25420.218820554524</v>
      </c>
      <c r="H6" s="265">
        <f>'Αποτ. Χρήσεως'!P26</f>
        <v>25933.200186521208</v>
      </c>
      <c r="I6" s="265">
        <f>'Αποτ. Χρήσεως'!Q26</f>
        <v>26449.606080004844</v>
      </c>
      <c r="J6" s="265">
        <f>'Αποτ. Χρήσεως'!R26</f>
        <v>26963.037397551903</v>
      </c>
      <c r="K6" s="265">
        <f>'Αποτ. Χρήσεως'!S26</f>
        <v>27479.068314824079</v>
      </c>
      <c r="L6" s="266">
        <f>'Αποτ. Χρήσεως'!T26</f>
        <v>27995.244968391635</v>
      </c>
      <c r="M6" s="267"/>
    </row>
    <row r="7" spans="1:14" ht="20.100000000000001" customHeight="1">
      <c r="A7" s="108" t="s">
        <v>138</v>
      </c>
      <c r="B7" s="113"/>
      <c r="C7" s="173">
        <f>'Αποτ. Χρήσεως'!K55</f>
        <v>1285</v>
      </c>
      <c r="D7" s="173">
        <f>'Αποτ. Χρήσεως'!L55</f>
        <v>1323</v>
      </c>
      <c r="E7" s="173">
        <f>'Αποτ. Χρήσεως'!M55</f>
        <v>1363</v>
      </c>
      <c r="F7" s="173">
        <f>'Αποτ. Χρήσεως'!N55</f>
        <v>1404.2093726379442</v>
      </c>
      <c r="G7" s="173">
        <f>'Αποτ. Χρήσεως'!O55</f>
        <v>1446.6646824682675</v>
      </c>
      <c r="H7" s="173">
        <f>'Αποτ. Χρήσεως'!P55</f>
        <v>1490.4035995496965</v>
      </c>
      <c r="I7" s="173">
        <f>'Αποτ. Χρήσεως'!Q55</f>
        <v>1535.4649328694152</v>
      </c>
      <c r="J7" s="173">
        <f>'Αποτ. Χρήσεως'!R55</f>
        <v>1581.8886647777874</v>
      </c>
      <c r="K7" s="173">
        <f>'Αποτ. Χρήσεως'!S55</f>
        <v>1629.7159864641908</v>
      </c>
      <c r="L7" s="216">
        <f>'Αποτ. Χρήσεως'!T55</f>
        <v>1678.9893345054361</v>
      </c>
      <c r="M7" s="114"/>
    </row>
    <row r="8" spans="1:14" ht="20.100000000000001" customHeight="1">
      <c r="A8" s="108" t="s">
        <v>139</v>
      </c>
      <c r="B8" s="113"/>
      <c r="C8" s="173">
        <f>'Αποτ. Χρήσεως'!K73</f>
        <v>4333.244675618067</v>
      </c>
      <c r="D8" s="173">
        <f>'Αποτ. Χρήσεως'!L73</f>
        <v>4729.9236694269121</v>
      </c>
      <c r="E8" s="173">
        <f>'Αποτ. Χρήσεως'!M73</f>
        <v>5640.4272046290234</v>
      </c>
      <c r="F8" s="173">
        <f>'Αποτ. Χρήσεως'!N73</f>
        <v>6085.4967556854872</v>
      </c>
      <c r="G8" s="173">
        <f>'Αποτ. Χρήσεως'!O73</f>
        <v>6557.5091491288322</v>
      </c>
      <c r="H8" s="173">
        <f>'Αποτ. Χρήσεως'!P73</f>
        <v>7059.9088338850515</v>
      </c>
      <c r="I8" s="173">
        <f>'Αποτ. Χρήσεως'!Q73</f>
        <v>7595.0833115256555</v>
      </c>
      <c r="J8" s="173">
        <f>'Αποτ. Χρήσεως'!R73</f>
        <v>8163.8873642507524</v>
      </c>
      <c r="K8" s="173">
        <f>'Αποτ. Χρήσεως'!S73</f>
        <v>8771.6696798548292</v>
      </c>
      <c r="L8" s="216">
        <f>'Αποτ. Χρήσεως'!T73</f>
        <v>9421.3021096290558</v>
      </c>
      <c r="M8" s="261"/>
    </row>
    <row r="9" spans="1:14" ht="20.100000000000001" customHeight="1" outlineLevel="1">
      <c r="A9" s="195" t="s">
        <v>140</v>
      </c>
      <c r="B9" s="115"/>
      <c r="C9" s="190">
        <f t="shared" ref="C9:L9" si="1">C6+C7-C8</f>
        <v>18945.755324381935</v>
      </c>
      <c r="D9" s="190">
        <f t="shared" si="1"/>
        <v>19087.076330573087</v>
      </c>
      <c r="E9" s="190">
        <f t="shared" si="1"/>
        <v>20122.572795370976</v>
      </c>
      <c r="F9" s="190">
        <f t="shared" si="1"/>
        <v>20227.748243822585</v>
      </c>
      <c r="G9" s="190">
        <f t="shared" si="1"/>
        <v>20309.37435389396</v>
      </c>
      <c r="H9" s="190">
        <f t="shared" si="1"/>
        <v>20363.694952185851</v>
      </c>
      <c r="I9" s="190">
        <f t="shared" si="1"/>
        <v>20389.987701348604</v>
      </c>
      <c r="J9" s="190">
        <f t="shared" si="1"/>
        <v>20381.038698078937</v>
      </c>
      <c r="K9" s="190">
        <f t="shared" si="1"/>
        <v>20337.11462143344</v>
      </c>
      <c r="L9" s="217">
        <f t="shared" si="1"/>
        <v>20252.932193268018</v>
      </c>
      <c r="M9" s="261"/>
    </row>
    <row r="10" spans="1:14" ht="20.100000000000001" customHeight="1" outlineLevel="1">
      <c r="A10" s="214" t="s">
        <v>105</v>
      </c>
      <c r="B10" s="213"/>
      <c r="C10" s="212">
        <f>C11*'Αποτ. Χρήσεως'!K10</f>
        <v>2319.5099999999998</v>
      </c>
      <c r="D10" s="212">
        <f>D11*'Αποτ. Χρήσεως'!L10</f>
        <v>2388.9</v>
      </c>
      <c r="E10" s="212">
        <f>E11*'Αποτ. Χρήσεως'!M10</f>
        <v>2627.79</v>
      </c>
      <c r="F10" s="212">
        <f>F11*'Αποτ. Χρήσεως'!N10</f>
        <v>2693.4847499999996</v>
      </c>
      <c r="G10" s="212">
        <f>G11*'Αποτ. Χρήσεως'!O10</f>
        <v>2760.8218687500002</v>
      </c>
      <c r="H10" s="212">
        <f>H11*'Αποτ. Χρήσεως'!P10</f>
        <v>2829.84241546875</v>
      </c>
      <c r="I10" s="212">
        <f>I11*'Αποτ. Χρήσεως'!Q10</f>
        <v>2900.5884758554685</v>
      </c>
      <c r="J10" s="212">
        <f>J11*'Αποτ. Χρήσεως'!R10</f>
        <v>2973.1031877518553</v>
      </c>
      <c r="K10" s="212">
        <f>K11*'Αποτ. Χρήσεως'!S10</f>
        <v>3047.4307674456522</v>
      </c>
      <c r="L10" s="218">
        <f>L11*'Αποτ. Χρήσεως'!T10</f>
        <v>3123.6165366317932</v>
      </c>
      <c r="M10" s="261"/>
    </row>
    <row r="11" spans="1:14" ht="40.5" customHeight="1" outlineLevel="1">
      <c r="A11" s="215" t="s">
        <v>183</v>
      </c>
      <c r="B11" s="115"/>
      <c r="C11" s="211">
        <v>0.03</v>
      </c>
      <c r="D11" s="211">
        <f t="shared" ref="D11:L11" si="2">C11</f>
        <v>0.03</v>
      </c>
      <c r="E11" s="211">
        <f t="shared" si="2"/>
        <v>0.03</v>
      </c>
      <c r="F11" s="211">
        <f t="shared" si="2"/>
        <v>0.03</v>
      </c>
      <c r="G11" s="211">
        <f t="shared" si="2"/>
        <v>0.03</v>
      </c>
      <c r="H11" s="211">
        <f t="shared" si="2"/>
        <v>0.03</v>
      </c>
      <c r="I11" s="211">
        <f t="shared" si="2"/>
        <v>0.03</v>
      </c>
      <c r="J11" s="211">
        <f t="shared" si="2"/>
        <v>0.03</v>
      </c>
      <c r="K11" s="211">
        <f t="shared" si="2"/>
        <v>0.03</v>
      </c>
      <c r="L11" s="225">
        <f t="shared" si="2"/>
        <v>0.03</v>
      </c>
      <c r="M11" s="261"/>
    </row>
    <row r="12" spans="1:14" ht="20.100000000000001" customHeight="1" outlineLevel="1" thickBot="1">
      <c r="A12" s="108" t="s">
        <v>141</v>
      </c>
      <c r="B12" s="116"/>
      <c r="C12" s="173">
        <f t="shared" ref="C12:L12" si="3">C10-B10</f>
        <v>2319.5099999999998</v>
      </c>
      <c r="D12" s="173">
        <f t="shared" si="3"/>
        <v>69.390000000000327</v>
      </c>
      <c r="E12" s="173">
        <f t="shared" si="3"/>
        <v>238.88999999999987</v>
      </c>
      <c r="F12" s="173">
        <f t="shared" si="3"/>
        <v>65.694749999999658</v>
      </c>
      <c r="G12" s="173">
        <f t="shared" si="3"/>
        <v>67.337118750000627</v>
      </c>
      <c r="H12" s="173">
        <f t="shared" si="3"/>
        <v>69.020546718749756</v>
      </c>
      <c r="I12" s="173">
        <f t="shared" si="3"/>
        <v>70.746060386718455</v>
      </c>
      <c r="J12" s="173">
        <f t="shared" si="3"/>
        <v>72.514711896386871</v>
      </c>
      <c r="K12" s="173">
        <f t="shared" si="3"/>
        <v>74.327579693796906</v>
      </c>
      <c r="L12" s="216">
        <f t="shared" si="3"/>
        <v>76.185769186140988</v>
      </c>
      <c r="M12" s="261"/>
    </row>
    <row r="13" spans="1:14" ht="28.5" customHeight="1">
      <c r="A13" s="457" t="s">
        <v>229</v>
      </c>
      <c r="B13" s="458"/>
      <c r="C13" s="186">
        <f t="shared" ref="C13:L13" si="4">C9-C12</f>
        <v>16626.245324381936</v>
      </c>
      <c r="D13" s="186">
        <f t="shared" si="4"/>
        <v>19017.686330573088</v>
      </c>
      <c r="E13" s="186">
        <f t="shared" si="4"/>
        <v>19883.682795370976</v>
      </c>
      <c r="F13" s="186">
        <f t="shared" si="4"/>
        <v>20162.053493822586</v>
      </c>
      <c r="G13" s="186">
        <f t="shared" si="4"/>
        <v>20242.037235143958</v>
      </c>
      <c r="H13" s="186">
        <f t="shared" si="4"/>
        <v>20294.6744054671</v>
      </c>
      <c r="I13" s="186">
        <f t="shared" si="4"/>
        <v>20319.241640961885</v>
      </c>
      <c r="J13" s="186">
        <f t="shared" si="4"/>
        <v>20308.52398618255</v>
      </c>
      <c r="K13" s="186">
        <f t="shared" si="4"/>
        <v>20262.787041739644</v>
      </c>
      <c r="L13" s="219">
        <f t="shared" si="4"/>
        <v>20176.746424081877</v>
      </c>
      <c r="M13" s="261"/>
      <c r="N13" s="201" t="s">
        <v>254</v>
      </c>
    </row>
    <row r="14" spans="1:14" ht="21.75" customHeight="1" outlineLevel="1" thickBot="1">
      <c r="A14" s="459" t="s">
        <v>142</v>
      </c>
      <c r="B14" s="460"/>
      <c r="C14" s="186"/>
      <c r="D14" s="187">
        <f t="shared" ref="D14:L14" si="5">D13/C13-1</f>
        <v>0.14383530132832623</v>
      </c>
      <c r="E14" s="187">
        <f t="shared" si="5"/>
        <v>4.5536373339258418E-2</v>
      </c>
      <c r="F14" s="187">
        <f t="shared" si="5"/>
        <v>1.3999956714075834E-2</v>
      </c>
      <c r="G14" s="187">
        <f t="shared" si="5"/>
        <v>3.9670434038814317E-3</v>
      </c>
      <c r="H14" s="187">
        <f t="shared" si="5"/>
        <v>2.6003889683472448E-3</v>
      </c>
      <c r="I14" s="187">
        <f t="shared" si="5"/>
        <v>1.2105262200297062E-3</v>
      </c>
      <c r="J14" s="187">
        <f t="shared" si="5"/>
        <v>-5.2746332607855884E-4</v>
      </c>
      <c r="K14" s="187">
        <f t="shared" si="5"/>
        <v>-2.2521057893731822E-3</v>
      </c>
      <c r="L14" s="220">
        <f t="shared" si="5"/>
        <v>-4.2462380658954135E-3</v>
      </c>
      <c r="M14" s="261"/>
      <c r="N14" s="202">
        <f>(L13/(C13))^(1/9)-1</f>
        <v>2.1738271802556053E-2</v>
      </c>
    </row>
    <row r="15" spans="1:14" s="121" customFormat="1" ht="14.4" thickBot="1">
      <c r="A15" s="196"/>
      <c r="B15" s="117"/>
      <c r="C15" s="118"/>
      <c r="D15" s="118"/>
      <c r="E15" s="118"/>
      <c r="F15" s="119"/>
      <c r="G15" s="271"/>
      <c r="H15" s="271"/>
      <c r="I15" s="271"/>
      <c r="J15" s="271"/>
      <c r="K15" s="271"/>
      <c r="L15" s="272"/>
      <c r="M15" s="268"/>
      <c r="N15" s="203">
        <f>(C13)*(1+N14)^9</f>
        <v>20176.746424081874</v>
      </c>
    </row>
    <row r="16" spans="1:14" ht="26.25" customHeight="1" thickBot="1">
      <c r="A16" s="449" t="s">
        <v>143</v>
      </c>
      <c r="B16" s="450"/>
      <c r="C16" s="450"/>
      <c r="D16" s="450"/>
      <c r="E16" s="450"/>
      <c r="F16" s="450"/>
      <c r="G16" s="461"/>
      <c r="H16" s="461"/>
      <c r="I16" s="461"/>
      <c r="J16" s="461"/>
      <c r="K16" s="461"/>
      <c r="L16" s="462"/>
      <c r="M16" s="258"/>
    </row>
    <row r="17" spans="1:15" ht="20.100000000000001" customHeight="1">
      <c r="A17" s="108" t="s">
        <v>144</v>
      </c>
      <c r="B17" s="174">
        <f>'Αρχική Επένδυση (€)'!E35</f>
        <v>40000</v>
      </c>
      <c r="C17" s="110">
        <f>'Αρχική Επένδυση (€)'!E35</f>
        <v>40000</v>
      </c>
      <c r="D17" s="110"/>
      <c r="E17" s="110"/>
      <c r="F17" s="110"/>
      <c r="G17" s="111"/>
      <c r="H17" s="262"/>
      <c r="I17" s="111"/>
      <c r="J17" s="111"/>
      <c r="K17" s="111"/>
      <c r="L17" s="112"/>
      <c r="M17" s="261"/>
      <c r="N17" s="169">
        <f>C13-C17</f>
        <v>-23373.754675618064</v>
      </c>
    </row>
    <row r="18" spans="1:15" ht="29.25" customHeight="1">
      <c r="A18" s="277" t="s">
        <v>230</v>
      </c>
      <c r="B18" s="188">
        <f t="shared" ref="B18:G18" si="6">B17</f>
        <v>40000</v>
      </c>
      <c r="C18" s="189">
        <f t="shared" si="6"/>
        <v>40000</v>
      </c>
      <c r="D18" s="189">
        <f t="shared" si="6"/>
        <v>0</v>
      </c>
      <c r="E18" s="189">
        <f t="shared" si="6"/>
        <v>0</v>
      </c>
      <c r="F18" s="189">
        <f t="shared" si="6"/>
        <v>0</v>
      </c>
      <c r="G18" s="263">
        <f t="shared" si="6"/>
        <v>0</v>
      </c>
      <c r="H18" s="263">
        <f>H17</f>
        <v>0</v>
      </c>
      <c r="I18" s="263">
        <f>I17</f>
        <v>0</v>
      </c>
      <c r="J18" s="263">
        <f>J17</f>
        <v>0</v>
      </c>
      <c r="K18" s="263">
        <f>K17</f>
        <v>0</v>
      </c>
      <c r="L18" s="264">
        <f>L17</f>
        <v>0</v>
      </c>
      <c r="M18" s="261"/>
    </row>
    <row r="19" spans="1:15" ht="14.25" customHeight="1" thickBot="1">
      <c r="A19" s="108"/>
      <c r="B19" s="126"/>
      <c r="C19" s="110"/>
      <c r="D19" s="123"/>
      <c r="E19" s="123"/>
      <c r="F19" s="123"/>
      <c r="G19" s="273"/>
      <c r="H19" s="274"/>
      <c r="I19" s="273"/>
      <c r="J19" s="273"/>
      <c r="K19" s="273"/>
      <c r="L19" s="275"/>
      <c r="M19" s="258"/>
    </row>
    <row r="20" spans="1:15" ht="28.5" customHeight="1">
      <c r="A20" s="457" t="s">
        <v>253</v>
      </c>
      <c r="B20" s="458"/>
      <c r="C20" s="186">
        <f>C13-C18</f>
        <v>-23373.754675618064</v>
      </c>
      <c r="D20" s="186">
        <f t="shared" ref="D20:L20" si="7">D13-D18</f>
        <v>19017.686330573088</v>
      </c>
      <c r="E20" s="186">
        <f t="shared" si="7"/>
        <v>19883.682795370976</v>
      </c>
      <c r="F20" s="186">
        <f t="shared" si="7"/>
        <v>20162.053493822586</v>
      </c>
      <c r="G20" s="186">
        <f t="shared" si="7"/>
        <v>20242.037235143958</v>
      </c>
      <c r="H20" s="186">
        <f t="shared" si="7"/>
        <v>20294.6744054671</v>
      </c>
      <c r="I20" s="186">
        <f t="shared" si="7"/>
        <v>20319.241640961885</v>
      </c>
      <c r="J20" s="186">
        <f t="shared" si="7"/>
        <v>20308.52398618255</v>
      </c>
      <c r="K20" s="186">
        <f t="shared" si="7"/>
        <v>20262.787041739644</v>
      </c>
      <c r="L20" s="186">
        <f t="shared" si="7"/>
        <v>20176.746424081877</v>
      </c>
      <c r="M20" s="261"/>
      <c r="N20" s="201" t="s">
        <v>252</v>
      </c>
      <c r="O20" s="169">
        <f>SUM(C20:L20)</f>
        <v>157293.67867772561</v>
      </c>
    </row>
    <row r="21" spans="1:15" ht="21.75" customHeight="1" outlineLevel="1" thickBot="1">
      <c r="A21" s="459" t="s">
        <v>142</v>
      </c>
      <c r="B21" s="460"/>
      <c r="C21" s="186"/>
      <c r="D21" s="187">
        <f t="shared" ref="D21:E21" si="8">D20/C20-1</f>
        <v>-1.8136342061641926</v>
      </c>
      <c r="E21" s="187">
        <f t="shared" si="8"/>
        <v>4.5536373339258418E-2</v>
      </c>
      <c r="F21" s="187">
        <f t="shared" ref="F21" si="9">F20/E20-1</f>
        <v>1.3999956714075834E-2</v>
      </c>
      <c r="G21" s="187">
        <f t="shared" ref="G21" si="10">G20/F20-1</f>
        <v>3.9670434038814317E-3</v>
      </c>
      <c r="H21" s="187">
        <f t="shared" ref="H21" si="11">H20/G20-1</f>
        <v>2.6003889683472448E-3</v>
      </c>
      <c r="I21" s="187">
        <f t="shared" ref="I21" si="12">I20/H20-1</f>
        <v>1.2105262200297062E-3</v>
      </c>
      <c r="J21" s="187">
        <f t="shared" ref="J21" si="13">J20/I20-1</f>
        <v>-5.2746332607855884E-4</v>
      </c>
      <c r="K21" s="187">
        <f t="shared" ref="K21" si="14">K20/J20-1</f>
        <v>-2.2521057893731822E-3</v>
      </c>
      <c r="L21" s="220">
        <f t="shared" ref="L21" si="15">L20/K20-1</f>
        <v>-4.2462380658954135E-3</v>
      </c>
      <c r="M21" s="261"/>
      <c r="N21" s="202">
        <f>(L20/(C20-C24))^(1/9)-1</f>
        <v>-1.9837902569218304</v>
      </c>
    </row>
    <row r="22" spans="1:15" ht="39.75" customHeight="1" thickBot="1">
      <c r="A22" s="449" t="s">
        <v>145</v>
      </c>
      <c r="B22" s="450"/>
      <c r="C22" s="450"/>
      <c r="D22" s="450"/>
      <c r="E22" s="450"/>
      <c r="F22" s="450"/>
      <c r="G22" s="461"/>
      <c r="H22" s="461"/>
      <c r="I22" s="461"/>
      <c r="J22" s="461"/>
      <c r="K22" s="461"/>
      <c r="L22" s="462"/>
      <c r="M22" s="258"/>
      <c r="N22" s="203">
        <f>(C20)*(1+N21)^9</f>
        <v>20176.746424081866</v>
      </c>
    </row>
    <row r="23" spans="1:15" ht="30.75" customHeight="1" outlineLevel="1">
      <c r="A23" s="108" t="s">
        <v>177</v>
      </c>
      <c r="B23" s="174">
        <f>'Αρχική Επένδυση (€)'!E34</f>
        <v>40000</v>
      </c>
      <c r="C23" s="174">
        <f>C17</f>
        <v>40000</v>
      </c>
      <c r="D23" s="174">
        <f t="shared" ref="D23:L23" si="16">D17</f>
        <v>0</v>
      </c>
      <c r="E23" s="174">
        <f t="shared" si="16"/>
        <v>0</v>
      </c>
      <c r="F23" s="174">
        <f t="shared" si="16"/>
        <v>0</v>
      </c>
      <c r="G23" s="174">
        <f t="shared" si="16"/>
        <v>0</v>
      </c>
      <c r="H23" s="174">
        <f t="shared" si="16"/>
        <v>0</v>
      </c>
      <c r="I23" s="174">
        <f t="shared" si="16"/>
        <v>0</v>
      </c>
      <c r="J23" s="174">
        <f t="shared" si="16"/>
        <v>0</v>
      </c>
      <c r="K23" s="174">
        <f t="shared" si="16"/>
        <v>0</v>
      </c>
      <c r="L23" s="174">
        <f t="shared" si="16"/>
        <v>0</v>
      </c>
      <c r="M23" s="261"/>
    </row>
    <row r="24" spans="1:15" ht="20.25" customHeight="1">
      <c r="A24" s="108" t="s">
        <v>228</v>
      </c>
      <c r="B24" s="174">
        <f>'Αρχική Επένδυση (€)'!E32</f>
        <v>0</v>
      </c>
      <c r="C24" s="173">
        <f>Δανεισμός!F13</f>
        <v>0</v>
      </c>
      <c r="D24" s="173">
        <f>Δανεισμός!G13</f>
        <v>0</v>
      </c>
      <c r="E24" s="173">
        <f>Δανεισμός!H13</f>
        <v>0</v>
      </c>
      <c r="F24" s="173">
        <f>Δανεισμός!I13</f>
        <v>0</v>
      </c>
      <c r="G24" s="173">
        <f>Δανεισμός!J13</f>
        <v>0</v>
      </c>
      <c r="H24" s="173">
        <f>Δανεισμός!K13</f>
        <v>0</v>
      </c>
      <c r="I24" s="173">
        <f>Δανεισμός!L13</f>
        <v>0</v>
      </c>
      <c r="J24" s="173">
        <f>Δανεισμός!M13</f>
        <v>0</v>
      </c>
      <c r="K24" s="173">
        <f>Δανεισμός!N13</f>
        <v>0</v>
      </c>
      <c r="L24" s="216">
        <f>Δανεισμός!O13</f>
        <v>0</v>
      </c>
      <c r="M24" s="261"/>
    </row>
    <row r="25" spans="1:15" ht="36" hidden="1" customHeight="1" outlineLevel="1">
      <c r="A25" s="108" t="s">
        <v>148</v>
      </c>
      <c r="B25" s="174"/>
      <c r="C25" s="173"/>
      <c r="D25" s="173"/>
      <c r="E25" s="173"/>
      <c r="F25" s="173"/>
      <c r="G25" s="173"/>
      <c r="H25" s="173"/>
      <c r="I25" s="173"/>
      <c r="J25" s="173"/>
      <c r="K25" s="173"/>
      <c r="L25" s="216"/>
      <c r="M25" s="261"/>
    </row>
    <row r="26" spans="1:15" ht="31.5" hidden="1" customHeight="1" outlineLevel="1">
      <c r="A26" s="108" t="s">
        <v>184</v>
      </c>
      <c r="B26" s="174">
        <v>0</v>
      </c>
      <c r="C26" s="174"/>
      <c r="D26" s="174"/>
      <c r="E26" s="174"/>
      <c r="F26" s="174"/>
      <c r="G26" s="174"/>
      <c r="H26" s="174"/>
      <c r="I26" s="174"/>
      <c r="J26" s="174"/>
      <c r="K26" s="174"/>
      <c r="L26" s="221"/>
      <c r="M26" s="125"/>
    </row>
    <row r="27" spans="1:15" ht="21" hidden="1" customHeight="1" outlineLevel="1">
      <c r="A27" s="128" t="s">
        <v>150</v>
      </c>
      <c r="B27" s="175"/>
      <c r="C27" s="173"/>
      <c r="D27" s="173"/>
      <c r="E27" s="173"/>
      <c r="F27" s="173"/>
      <c r="G27" s="173"/>
      <c r="H27" s="173"/>
      <c r="I27" s="173"/>
      <c r="J27" s="173"/>
      <c r="K27" s="173"/>
      <c r="L27" s="216"/>
      <c r="M27" s="261"/>
    </row>
    <row r="28" spans="1:15" ht="20.25" hidden="1" customHeight="1" outlineLevel="1" collapsed="1">
      <c r="A28" s="108" t="s">
        <v>226</v>
      </c>
      <c r="B28" s="176"/>
      <c r="C28" s="173">
        <f>'Αποτ. Χρήσεως'!K77</f>
        <v>0</v>
      </c>
      <c r="D28" s="173">
        <f>'Αποτ. Χρήσεως'!L77</f>
        <v>0</v>
      </c>
      <c r="E28" s="173">
        <f>'Αποτ. Χρήσεως'!M77</f>
        <v>0</v>
      </c>
      <c r="F28" s="173">
        <f>'Αποτ. Χρήσεως'!N77</f>
        <v>0</v>
      </c>
      <c r="G28" s="173">
        <f>'Αποτ. Χρήσεως'!O77</f>
        <v>0</v>
      </c>
      <c r="H28" s="173">
        <f>'Αποτ. Χρήσεως'!P77</f>
        <v>0</v>
      </c>
      <c r="I28" s="173">
        <f>'Αποτ. Χρήσεως'!Q77</f>
        <v>0</v>
      </c>
      <c r="J28" s="173">
        <f>'Αποτ. Χρήσεως'!R77</f>
        <v>0</v>
      </c>
      <c r="K28" s="173">
        <f>'Αποτ. Χρήσεως'!S77</f>
        <v>0</v>
      </c>
      <c r="L28" s="216">
        <f>'Αποτ. Χρήσεως'!T77</f>
        <v>0</v>
      </c>
      <c r="M28" s="261"/>
    </row>
    <row r="29" spans="1:15" ht="34.5" customHeight="1" collapsed="1">
      <c r="A29" s="108" t="s">
        <v>19</v>
      </c>
      <c r="B29" s="176"/>
      <c r="C29" s="173">
        <f>Δανεισμός!F15</f>
        <v>6462.9444259138454</v>
      </c>
      <c r="D29" s="173">
        <f>Δανεισμός!G15</f>
        <v>7096.3129796534031</v>
      </c>
      <c r="E29" s="173">
        <f>Δανεισμός!H15</f>
        <v>7791.7516516594369</v>
      </c>
      <c r="F29" s="173">
        <f>Δανεισμός!I15</f>
        <v>8555.3433135220621</v>
      </c>
      <c r="G29" s="173">
        <f>Δανεισμός!J15</f>
        <v>9393.7669582472226</v>
      </c>
      <c r="H29" s="173">
        <f>Δανεισμός!K15</f>
        <v>10314.356120155451</v>
      </c>
      <c r="I29" s="173">
        <f>Δανεισμός!L15</f>
        <v>11325.163019930686</v>
      </c>
      <c r="J29" s="173">
        <f>Δανεισμός!M15</f>
        <v>12435.0289958839</v>
      </c>
      <c r="K29" s="173">
        <f>Δανεισμός!N15</f>
        <v>13653.661837480518</v>
      </c>
      <c r="L29" s="216">
        <f>Δανεισμός!O15</f>
        <v>14991.720697553612</v>
      </c>
      <c r="M29" s="261"/>
    </row>
    <row r="30" spans="1:15" ht="33.75" hidden="1" customHeight="1" outlineLevel="1">
      <c r="A30" s="108" t="s">
        <v>185</v>
      </c>
      <c r="B30" s="174"/>
      <c r="C30" s="173"/>
      <c r="D30" s="173"/>
      <c r="E30" s="173"/>
      <c r="F30" s="173"/>
      <c r="G30" s="173"/>
      <c r="H30" s="173"/>
      <c r="I30" s="173"/>
      <c r="J30" s="173"/>
      <c r="K30" s="173"/>
      <c r="L30" s="216"/>
      <c r="M30" s="114"/>
    </row>
    <row r="31" spans="1:15" ht="21" customHeight="1" collapsed="1">
      <c r="A31" s="418" t="s">
        <v>225</v>
      </c>
      <c r="B31" s="175"/>
      <c r="C31" s="173">
        <f>Δανεισμός!F12</f>
        <v>9613.300926805523</v>
      </c>
      <c r="D31" s="173">
        <f>Δανεισμός!G12</f>
        <v>8979.9323730659653</v>
      </c>
      <c r="E31" s="173">
        <f>Δανεισμός!H12</f>
        <v>8284.4937010599315</v>
      </c>
      <c r="F31" s="173">
        <f>Δανεισμός!I12</f>
        <v>7520.9020391973063</v>
      </c>
      <c r="G31" s="173">
        <f>Δανεισμός!J12</f>
        <v>6682.4783944721457</v>
      </c>
      <c r="H31" s="173">
        <f>Δανεισμός!K12</f>
        <v>5761.8892325639154</v>
      </c>
      <c r="I31" s="173">
        <f>Δανεισμός!L12</f>
        <v>4751.0823327886819</v>
      </c>
      <c r="J31" s="173">
        <f>Δανεισμός!M12</f>
        <v>3641.2163568354681</v>
      </c>
      <c r="K31" s="173">
        <f>Δανεισμός!N12</f>
        <v>2422.5835152388495</v>
      </c>
      <c r="L31" s="216">
        <f>Δανεισμός!O12</f>
        <v>1084.5246551657567</v>
      </c>
      <c r="M31" s="261"/>
    </row>
    <row r="32" spans="1:15" ht="33" customHeight="1">
      <c r="A32" s="277" t="s">
        <v>231</v>
      </c>
      <c r="B32" s="188">
        <f>SUM(B23:B26)-SUM(B28:B30)</f>
        <v>40000</v>
      </c>
      <c r="C32" s="188">
        <f t="shared" ref="C32:L32" si="17">SUM(C23:C27)-SUM(C28:C31)</f>
        <v>23923.754647280632</v>
      </c>
      <c r="D32" s="188">
        <f t="shared" si="17"/>
        <v>-16076.245352719368</v>
      </c>
      <c r="E32" s="188">
        <f t="shared" si="17"/>
        <v>-16076.245352719368</v>
      </c>
      <c r="F32" s="188">
        <f t="shared" si="17"/>
        <v>-16076.245352719368</v>
      </c>
      <c r="G32" s="188">
        <f t="shared" si="17"/>
        <v>-16076.245352719368</v>
      </c>
      <c r="H32" s="188">
        <f t="shared" si="17"/>
        <v>-16076.245352719367</v>
      </c>
      <c r="I32" s="188">
        <f t="shared" si="17"/>
        <v>-16076.245352719368</v>
      </c>
      <c r="J32" s="188">
        <f t="shared" si="17"/>
        <v>-16076.245352719368</v>
      </c>
      <c r="K32" s="188">
        <f t="shared" si="17"/>
        <v>-16076.245352719368</v>
      </c>
      <c r="L32" s="222">
        <f t="shared" si="17"/>
        <v>-16076.245352719368</v>
      </c>
      <c r="M32" s="269"/>
    </row>
    <row r="33" spans="1:13" ht="14.25" customHeight="1" thickBot="1">
      <c r="A33" s="197"/>
      <c r="B33" s="126"/>
      <c r="C33" s="110"/>
      <c r="D33" s="110"/>
      <c r="E33" s="110"/>
      <c r="F33" s="123"/>
      <c r="G33" s="273"/>
      <c r="H33" s="274"/>
      <c r="I33" s="273"/>
      <c r="J33" s="123"/>
      <c r="K33" s="123"/>
      <c r="L33" s="124"/>
      <c r="M33" s="258"/>
    </row>
    <row r="34" spans="1:13" ht="32.25" customHeight="1" thickBot="1">
      <c r="A34" s="449" t="s">
        <v>151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1"/>
      <c r="M34" s="258"/>
    </row>
    <row r="35" spans="1:13" s="132" customFormat="1" ht="33.75" customHeight="1">
      <c r="A35" s="198" t="s">
        <v>152</v>
      </c>
      <c r="B35" s="131">
        <f t="shared" ref="B35:G35" si="18">SUM(B13-B18+B32)</f>
        <v>0</v>
      </c>
      <c r="C35" s="177">
        <f t="shared" si="18"/>
        <v>549.99997166256799</v>
      </c>
      <c r="D35" s="177">
        <f t="shared" si="18"/>
        <v>2941.4409778537192</v>
      </c>
      <c r="E35" s="177">
        <f t="shared" si="18"/>
        <v>3807.4374426516079</v>
      </c>
      <c r="F35" s="177">
        <f t="shared" si="18"/>
        <v>4085.8081411032181</v>
      </c>
      <c r="G35" s="259">
        <f t="shared" si="18"/>
        <v>4165.7918824245899</v>
      </c>
      <c r="H35" s="259">
        <f>SUM(H13-H18+H32)</f>
        <v>4218.4290527477333</v>
      </c>
      <c r="I35" s="259">
        <f>SUM(I13-I18+I32)</f>
        <v>4242.996288242517</v>
      </c>
      <c r="J35" s="259">
        <f>SUM(J13-J18+J32)</f>
        <v>4232.2786334631819</v>
      </c>
      <c r="K35" s="259">
        <f>SUM(K13-K18+K32)</f>
        <v>4186.541689020276</v>
      </c>
      <c r="L35" s="260">
        <f>SUM(L13-L18+L32)</f>
        <v>4100.5010713625088</v>
      </c>
      <c r="M35" s="269"/>
    </row>
    <row r="36" spans="1:13" s="132" customFormat="1" ht="17.25" customHeight="1">
      <c r="A36" s="199" t="s">
        <v>153</v>
      </c>
      <c r="B36" s="131">
        <v>0</v>
      </c>
      <c r="C36" s="173">
        <v>0</v>
      </c>
      <c r="D36" s="177">
        <f t="shared" ref="D36:L36" si="19">C37</f>
        <v>549.99997166256799</v>
      </c>
      <c r="E36" s="177">
        <f t="shared" si="19"/>
        <v>3491.4409495162872</v>
      </c>
      <c r="F36" s="177">
        <f t="shared" si="19"/>
        <v>7298.8783921678951</v>
      </c>
      <c r="G36" s="177">
        <f t="shared" si="19"/>
        <v>11384.686533271113</v>
      </c>
      <c r="H36" s="177">
        <f t="shared" si="19"/>
        <v>15550.478415695703</v>
      </c>
      <c r="I36" s="177">
        <f t="shared" si="19"/>
        <v>19768.907468443438</v>
      </c>
      <c r="J36" s="177">
        <f t="shared" si="19"/>
        <v>24011.903756685955</v>
      </c>
      <c r="K36" s="177">
        <f t="shared" si="19"/>
        <v>28244.182390149137</v>
      </c>
      <c r="L36" s="223">
        <f t="shared" si="19"/>
        <v>32430.724079169413</v>
      </c>
      <c r="M36" s="269"/>
    </row>
    <row r="37" spans="1:13" s="132" customFormat="1" ht="20.25" customHeight="1" thickBot="1">
      <c r="A37" s="200" t="s">
        <v>154</v>
      </c>
      <c r="B37" s="133">
        <v>0</v>
      </c>
      <c r="C37" s="178">
        <f t="shared" ref="C37:L37" si="20">C35+C36</f>
        <v>549.99997166256799</v>
      </c>
      <c r="D37" s="178">
        <f t="shared" si="20"/>
        <v>3491.4409495162872</v>
      </c>
      <c r="E37" s="178">
        <f t="shared" si="20"/>
        <v>7298.8783921678951</v>
      </c>
      <c r="F37" s="178">
        <f t="shared" si="20"/>
        <v>11384.686533271113</v>
      </c>
      <c r="G37" s="178">
        <f t="shared" si="20"/>
        <v>15550.478415695703</v>
      </c>
      <c r="H37" s="178">
        <f t="shared" si="20"/>
        <v>19768.907468443438</v>
      </c>
      <c r="I37" s="178">
        <f t="shared" si="20"/>
        <v>24011.903756685955</v>
      </c>
      <c r="J37" s="178">
        <f t="shared" si="20"/>
        <v>28244.182390149137</v>
      </c>
      <c r="K37" s="178">
        <f t="shared" si="20"/>
        <v>32430.724079169413</v>
      </c>
      <c r="L37" s="224">
        <f t="shared" si="20"/>
        <v>36531.225150531922</v>
      </c>
      <c r="M37" s="270"/>
    </row>
    <row r="38" spans="1:13" ht="14.4" hidden="1" thickTop="1">
      <c r="A38" s="129" t="s">
        <v>108</v>
      </c>
      <c r="B38" s="134"/>
      <c r="C38" s="179">
        <f>'Αποτ. Χρήσεως'!K60</f>
        <v>23279</v>
      </c>
      <c r="D38" s="179">
        <f>'Αποτ. Χρήσεως'!L60</f>
        <v>23817</v>
      </c>
      <c r="E38" s="179">
        <f>'Αποτ. Χρήσεως'!M60</f>
        <v>25763</v>
      </c>
      <c r="F38" s="179">
        <f>'Αποτ. Χρήσεως'!N60</f>
        <v>26313.244999508071</v>
      </c>
      <c r="G38" s="179">
        <f>'Αποτ. Χρήσεως'!O60</f>
        <v>26866.883503022793</v>
      </c>
      <c r="H38" s="179">
        <f>'Αποτ. Χρήσεως'!P60</f>
        <v>27423.603786070904</v>
      </c>
      <c r="I38" s="179">
        <f>'Αποτ. Χρήσεως'!Q60</f>
        <v>27985.071012874258</v>
      </c>
      <c r="J38" s="179">
        <f>'Αποτ. Χρήσεως'!R60</f>
        <v>28544.92606232969</v>
      </c>
      <c r="K38" s="179">
        <f>'Αποτ. Χρήσεως'!S60</f>
        <v>29108.784301288269</v>
      </c>
      <c r="L38" s="179">
        <f>'Αποτ. Χρήσεως'!T60</f>
        <v>29674.234302897072</v>
      </c>
    </row>
    <row r="39" spans="1:13" hidden="1">
      <c r="A39" s="129" t="s">
        <v>255</v>
      </c>
      <c r="B39" s="134"/>
      <c r="C39" s="135">
        <f>C20</f>
        <v>-23373.754675618064</v>
      </c>
      <c r="D39" s="135">
        <f t="shared" ref="D39:M39" si="21">D20</f>
        <v>19017.686330573088</v>
      </c>
      <c r="E39" s="135">
        <f t="shared" si="21"/>
        <v>19883.682795370976</v>
      </c>
      <c r="F39" s="135">
        <f t="shared" si="21"/>
        <v>20162.053493822586</v>
      </c>
      <c r="G39" s="135">
        <f t="shared" si="21"/>
        <v>20242.037235143958</v>
      </c>
      <c r="H39" s="135">
        <f t="shared" si="21"/>
        <v>20294.6744054671</v>
      </c>
      <c r="I39" s="135">
        <f t="shared" si="21"/>
        <v>20319.241640961885</v>
      </c>
      <c r="J39" s="135">
        <f t="shared" si="21"/>
        <v>20308.52398618255</v>
      </c>
      <c r="K39" s="135">
        <f t="shared" si="21"/>
        <v>20262.787041739644</v>
      </c>
      <c r="L39" s="135">
        <f t="shared" si="21"/>
        <v>20176.746424081877</v>
      </c>
      <c r="M39" s="135">
        <f t="shared" si="21"/>
        <v>0</v>
      </c>
    </row>
    <row r="40" spans="1:13" ht="14.4" hidden="1" outlineLevel="1" thickBot="1">
      <c r="A40" s="136" t="s">
        <v>155</v>
      </c>
      <c r="B40" s="137" t="e">
        <f>#REF!</f>
        <v>#REF!</v>
      </c>
      <c r="C40" s="135"/>
      <c r="D40" s="135"/>
      <c r="E40" s="135"/>
      <c r="F40" s="135"/>
      <c r="G40" s="135"/>
      <c r="H40" s="127"/>
    </row>
    <row r="41" spans="1:13" ht="28.2" hidden="1" outlineLevel="1" thickBot="1">
      <c r="A41" s="138" t="s">
        <v>156</v>
      </c>
      <c r="B41" s="181" t="e">
        <f>NPV(B40,C68:G68)-B18</f>
        <v>#REF!</v>
      </c>
      <c r="C41" s="135"/>
      <c r="D41" s="135"/>
      <c r="E41" s="135"/>
      <c r="F41" s="135"/>
      <c r="G41" s="135"/>
      <c r="H41" s="127"/>
    </row>
    <row r="42" spans="1:13" ht="31.5" hidden="1" customHeight="1" outlineLevel="1" thickBot="1">
      <c r="A42" s="138" t="s">
        <v>178</v>
      </c>
      <c r="B42" s="137">
        <f>IRR(B68:G68,0.18)</f>
        <v>7.4527107415130162E-2</v>
      </c>
      <c r="C42" s="135"/>
      <c r="D42" s="135"/>
      <c r="E42" s="192"/>
      <c r="F42" s="192"/>
      <c r="G42" s="135"/>
      <c r="H42" s="127"/>
    </row>
    <row r="43" spans="1:13" ht="28.2" hidden="1" outlineLevel="1" thickBot="1">
      <c r="A43" s="138" t="s">
        <v>179</v>
      </c>
      <c r="B43" s="191" t="s">
        <v>180</v>
      </c>
      <c r="C43" s="135"/>
      <c r="D43" s="135"/>
      <c r="E43" s="135"/>
      <c r="F43" s="135"/>
      <c r="G43" s="135"/>
      <c r="H43" s="127"/>
    </row>
    <row r="44" spans="1:13" ht="21" hidden="1" customHeight="1" outlineLevel="1" thickTop="1" thickBot="1">
      <c r="B44" s="139"/>
      <c r="C44" s="140" t="str">
        <f>C3</f>
        <v>Έτος 1</v>
      </c>
      <c r="D44" s="141" t="str">
        <f>D3</f>
        <v>Έτος 2</v>
      </c>
      <c r="E44" s="141" t="str">
        <f>E3</f>
        <v>Έτος 3</v>
      </c>
      <c r="F44" s="141" t="str">
        <f>F3</f>
        <v>Έτος 4</v>
      </c>
      <c r="G44" s="141" t="str">
        <f>G3</f>
        <v>Έτος 5</v>
      </c>
      <c r="H44" s="101"/>
      <c r="I44" s="141" t="str">
        <f>I3</f>
        <v>Έτος 7</v>
      </c>
      <c r="J44" s="141" t="str">
        <f>J3</f>
        <v>Έτος 8</v>
      </c>
      <c r="K44" s="141" t="str">
        <f>K3</f>
        <v>Έτος 9</v>
      </c>
      <c r="L44" s="141" t="str">
        <f>L3</f>
        <v>Έτος 10</v>
      </c>
      <c r="M44" s="142">
        <f>M3</f>
        <v>2020</v>
      </c>
    </row>
    <row r="45" spans="1:13" ht="20.25" hidden="1" customHeight="1" outlineLevel="1" thickTop="1">
      <c r="B45" s="143" t="s">
        <v>157</v>
      </c>
      <c r="C45" s="144"/>
      <c r="D45" s="123"/>
      <c r="E45" s="123"/>
      <c r="F45" s="123"/>
      <c r="G45" s="123"/>
      <c r="H45" s="146"/>
      <c r="I45" s="147"/>
      <c r="J45" s="145"/>
      <c r="K45" s="145"/>
      <c r="L45" s="145"/>
      <c r="M45" s="148"/>
    </row>
    <row r="46" spans="1:13" ht="6" hidden="1" customHeight="1" outlineLevel="1">
      <c r="B46" s="149"/>
      <c r="C46" s="144"/>
      <c r="D46" s="123"/>
      <c r="E46" s="123"/>
      <c r="F46" s="123"/>
      <c r="G46" s="123"/>
      <c r="H46" s="146"/>
      <c r="I46" s="122"/>
      <c r="J46" s="123"/>
      <c r="K46" s="123"/>
      <c r="L46" s="123"/>
      <c r="M46" s="124"/>
    </row>
    <row r="47" spans="1:13" ht="39" hidden="1" customHeight="1" outlineLevel="1">
      <c r="B47" s="108" t="s">
        <v>158</v>
      </c>
      <c r="C47" s="131"/>
      <c r="D47" s="131"/>
      <c r="E47" s="131"/>
      <c r="F47" s="131"/>
      <c r="G47" s="131"/>
      <c r="H47" s="150"/>
      <c r="I47" s="125"/>
      <c r="J47" s="131"/>
      <c r="K47" s="131"/>
      <c r="L47" s="131"/>
      <c r="M47" s="130"/>
    </row>
    <row r="48" spans="1:13" ht="20.100000000000001" hidden="1" customHeight="1" outlineLevel="1">
      <c r="B48" s="108" t="s">
        <v>101</v>
      </c>
      <c r="C48" s="131">
        <f>C7</f>
        <v>1285</v>
      </c>
      <c r="D48" s="131">
        <f>D7</f>
        <v>1323</v>
      </c>
      <c r="E48" s="131">
        <f>E7</f>
        <v>1363</v>
      </c>
      <c r="F48" s="131">
        <f>F7</f>
        <v>1404.2093726379442</v>
      </c>
      <c r="G48" s="131">
        <f>G7</f>
        <v>1446.6646824682675</v>
      </c>
      <c r="H48" s="150"/>
      <c r="I48" s="125">
        <f>I7</f>
        <v>1535.4649328694152</v>
      </c>
      <c r="J48" s="131">
        <f>J7</f>
        <v>1581.8886647777874</v>
      </c>
      <c r="K48" s="131">
        <f>K7</f>
        <v>1629.7159864641908</v>
      </c>
      <c r="L48" s="131">
        <f>L7</f>
        <v>1678.9893345054361</v>
      </c>
      <c r="M48" s="130">
        <f>M7</f>
        <v>0</v>
      </c>
    </row>
    <row r="49" spans="2:13" ht="27.6" hidden="1" outlineLevel="1">
      <c r="B49" s="108" t="s">
        <v>146</v>
      </c>
      <c r="C49" s="144"/>
      <c r="D49" s="123"/>
      <c r="E49" s="123"/>
      <c r="F49" s="123"/>
      <c r="G49" s="123"/>
      <c r="H49" s="146"/>
      <c r="I49" s="122"/>
      <c r="J49" s="123"/>
      <c r="K49" s="123"/>
      <c r="L49" s="123"/>
      <c r="M49" s="124"/>
    </row>
    <row r="50" spans="2:13" ht="20.100000000000001" hidden="1" customHeight="1" outlineLevel="1">
      <c r="B50" s="108" t="s">
        <v>147</v>
      </c>
      <c r="C50" s="144"/>
      <c r="D50" s="123"/>
      <c r="E50" s="123"/>
      <c r="F50" s="123"/>
      <c r="G50" s="123"/>
      <c r="H50" s="146"/>
      <c r="I50" s="122"/>
      <c r="J50" s="123"/>
      <c r="K50" s="123"/>
      <c r="L50" s="123"/>
      <c r="M50" s="124"/>
    </row>
    <row r="51" spans="2:13" ht="27.6" hidden="1" outlineLevel="1">
      <c r="B51" s="108" t="s">
        <v>148</v>
      </c>
      <c r="C51" s="131"/>
      <c r="D51" s="123"/>
      <c r="E51" s="123"/>
      <c r="F51" s="123"/>
      <c r="G51" s="123"/>
      <c r="H51" s="146"/>
      <c r="I51" s="122"/>
      <c r="J51" s="123"/>
      <c r="K51" s="123"/>
      <c r="L51" s="123"/>
      <c r="M51" s="124"/>
    </row>
    <row r="52" spans="2:13" ht="27.6" hidden="1" outlineLevel="1">
      <c r="B52" s="108" t="s">
        <v>149</v>
      </c>
      <c r="C52" s="131"/>
      <c r="D52" s="123"/>
      <c r="E52" s="123"/>
      <c r="F52" s="123"/>
      <c r="G52" s="123"/>
      <c r="H52" s="146"/>
      <c r="I52" s="122"/>
      <c r="J52" s="123"/>
      <c r="K52" s="123"/>
      <c r="L52" s="123"/>
      <c r="M52" s="124"/>
    </row>
    <row r="53" spans="2:13" ht="21" hidden="1" customHeight="1" outlineLevel="1" thickBot="1">
      <c r="B53" s="128" t="s">
        <v>150</v>
      </c>
      <c r="C53" s="131"/>
      <c r="D53" s="131"/>
      <c r="E53" s="131"/>
      <c r="F53" s="131"/>
      <c r="G53" s="131"/>
      <c r="H53" s="150"/>
      <c r="I53" s="125"/>
      <c r="J53" s="131"/>
      <c r="K53" s="131"/>
      <c r="L53" s="131"/>
      <c r="M53" s="130"/>
    </row>
    <row r="54" spans="2:13" ht="21" hidden="1" customHeight="1" outlineLevel="1" thickBot="1">
      <c r="B54" s="151" t="s">
        <v>159</v>
      </c>
      <c r="C54" s="152">
        <f>SUM(C47:C53)</f>
        <v>1285</v>
      </c>
      <c r="D54" s="152">
        <f>SUM(D47:D53)</f>
        <v>1323</v>
      </c>
      <c r="E54" s="152">
        <f>SUM(E47:E53)</f>
        <v>1363</v>
      </c>
      <c r="F54" s="152">
        <f>SUM(F47:F53)</f>
        <v>1404.2093726379442</v>
      </c>
      <c r="G54" s="152">
        <f>SUM(G47:G53)</f>
        <v>1446.6646824682675</v>
      </c>
      <c r="H54" s="153"/>
      <c r="I54" s="154">
        <f>SUM(I47:I53)</f>
        <v>1535.4649328694152</v>
      </c>
      <c r="J54" s="152">
        <f>SUM(J47:J53)</f>
        <v>1581.8886647777874</v>
      </c>
      <c r="K54" s="152">
        <f>SUM(K47:K53)</f>
        <v>1629.7159864641908</v>
      </c>
      <c r="L54" s="152">
        <f>SUM(L47:L53)</f>
        <v>1678.9893345054361</v>
      </c>
      <c r="M54" s="155">
        <f>SUM(M47:M53)</f>
        <v>0</v>
      </c>
    </row>
    <row r="55" spans="2:13" ht="22.5" hidden="1" customHeight="1" outlineLevel="1">
      <c r="B55" s="143" t="s">
        <v>160</v>
      </c>
      <c r="C55" s="144"/>
      <c r="D55" s="123"/>
      <c r="E55" s="123"/>
      <c r="F55" s="123"/>
      <c r="G55" s="123"/>
      <c r="H55" s="146"/>
      <c r="I55" s="122"/>
      <c r="J55" s="123"/>
      <c r="K55" s="123"/>
      <c r="L55" s="123"/>
      <c r="M55" s="124"/>
    </row>
    <row r="56" spans="2:13" ht="6" hidden="1" customHeight="1" outlineLevel="1">
      <c r="B56" s="156"/>
      <c r="C56" s="144"/>
      <c r="D56" s="123"/>
      <c r="E56" s="123"/>
      <c r="F56" s="123"/>
      <c r="G56" s="123"/>
      <c r="H56" s="146"/>
      <c r="I56" s="122"/>
      <c r="J56" s="123"/>
      <c r="K56" s="123"/>
      <c r="L56" s="123"/>
      <c r="M56" s="124"/>
    </row>
    <row r="57" spans="2:13" ht="27.6" hidden="1" outlineLevel="1">
      <c r="B57" s="108" t="s">
        <v>161</v>
      </c>
      <c r="C57" s="144"/>
      <c r="D57" s="123"/>
      <c r="E57" s="123"/>
      <c r="F57" s="123"/>
      <c r="G57" s="123"/>
      <c r="H57" s="146"/>
      <c r="I57" s="122"/>
      <c r="J57" s="123"/>
      <c r="K57" s="123"/>
      <c r="L57" s="123"/>
      <c r="M57" s="124"/>
    </row>
    <row r="58" spans="2:13" s="157" customFormat="1" ht="21" hidden="1" customHeight="1" outlineLevel="1">
      <c r="B58" s="128" t="s">
        <v>162</v>
      </c>
      <c r="C58" s="158">
        <f>C8</f>
        <v>4333.244675618067</v>
      </c>
      <c r="D58" s="158">
        <f>D8</f>
        <v>4729.9236694269121</v>
      </c>
      <c r="E58" s="158">
        <f>E8</f>
        <v>5640.4272046290234</v>
      </c>
      <c r="F58" s="158">
        <f>F8</f>
        <v>6085.4967556854872</v>
      </c>
      <c r="G58" s="158">
        <f>G8</f>
        <v>6557.5091491288322</v>
      </c>
      <c r="H58" s="150"/>
      <c r="I58" s="116">
        <f>I8</f>
        <v>7595.0833115256555</v>
      </c>
      <c r="J58" s="158">
        <f>J8</f>
        <v>8163.8873642507524</v>
      </c>
      <c r="K58" s="158">
        <f>K8</f>
        <v>8771.6696798548292</v>
      </c>
      <c r="L58" s="158">
        <f>L8</f>
        <v>9421.3021096290558</v>
      </c>
      <c r="M58" s="159">
        <f>M8</f>
        <v>0</v>
      </c>
    </row>
    <row r="59" spans="2:13" ht="28.5" hidden="1" customHeight="1" outlineLevel="1">
      <c r="B59" s="108" t="s">
        <v>163</v>
      </c>
      <c r="C59" s="131">
        <f>C12</f>
        <v>2319.5099999999998</v>
      </c>
      <c r="D59" s="131">
        <f>D12</f>
        <v>69.390000000000327</v>
      </c>
      <c r="E59" s="131">
        <f>E12</f>
        <v>238.88999999999987</v>
      </c>
      <c r="F59" s="131">
        <f>F12</f>
        <v>65.694749999999658</v>
      </c>
      <c r="G59" s="131">
        <f>G12</f>
        <v>67.337118750000627</v>
      </c>
      <c r="H59" s="150"/>
      <c r="I59" s="125">
        <f>I12</f>
        <v>70.746060386718455</v>
      </c>
      <c r="J59" s="131">
        <f>J12</f>
        <v>72.514711896386871</v>
      </c>
      <c r="K59" s="131">
        <f>K12</f>
        <v>74.327579693796906</v>
      </c>
      <c r="L59" s="131">
        <f>L12</f>
        <v>76.185769186140988</v>
      </c>
      <c r="M59" s="130">
        <f>M12</f>
        <v>0</v>
      </c>
    </row>
    <row r="60" spans="2:13" ht="21" hidden="1" customHeight="1" outlineLevel="1">
      <c r="B60" s="108" t="s">
        <v>164</v>
      </c>
      <c r="C60" s="131">
        <f>C28</f>
        <v>0</v>
      </c>
      <c r="D60" s="131">
        <f>D28</f>
        <v>0</v>
      </c>
      <c r="E60" s="131">
        <f>E28</f>
        <v>0</v>
      </c>
      <c r="F60" s="131">
        <f>F28</f>
        <v>0</v>
      </c>
      <c r="G60" s="131">
        <f>G28</f>
        <v>0</v>
      </c>
      <c r="H60" s="150"/>
      <c r="I60" s="125">
        <f>I28</f>
        <v>0</v>
      </c>
      <c r="J60" s="131">
        <f>J28</f>
        <v>0</v>
      </c>
      <c r="K60" s="131">
        <f>K28</f>
        <v>0</v>
      </c>
      <c r="L60" s="131">
        <f>L28</f>
        <v>0</v>
      </c>
      <c r="M60" s="130">
        <f>M28</f>
        <v>0</v>
      </c>
    </row>
    <row r="61" spans="2:13" ht="27.6" hidden="1" outlineLevel="1">
      <c r="B61" s="108" t="s">
        <v>165</v>
      </c>
      <c r="C61" s="131"/>
      <c r="D61" s="131"/>
      <c r="E61" s="131"/>
      <c r="F61" s="131"/>
      <c r="G61" s="131"/>
      <c r="H61" s="150"/>
      <c r="I61" s="125"/>
      <c r="J61" s="131"/>
      <c r="K61" s="131"/>
      <c r="L61" s="131"/>
      <c r="M61" s="130"/>
    </row>
    <row r="62" spans="2:13" ht="20.25" hidden="1" customHeight="1" outlineLevel="1">
      <c r="B62" s="156" t="s">
        <v>166</v>
      </c>
      <c r="C62" s="131"/>
      <c r="D62" s="131"/>
      <c r="E62" s="131"/>
      <c r="F62" s="131"/>
      <c r="G62" s="131"/>
      <c r="H62" s="150"/>
      <c r="I62" s="125"/>
      <c r="J62" s="131"/>
      <c r="K62" s="131"/>
      <c r="L62" s="131"/>
      <c r="M62" s="130"/>
    </row>
    <row r="63" spans="2:13" ht="28.2" hidden="1" outlineLevel="1" thickBot="1">
      <c r="B63" s="108" t="s">
        <v>167</v>
      </c>
      <c r="C63" s="110">
        <f>SUM(C47:C53)-SUM(C57:C62)</f>
        <v>-5367.7546756180673</v>
      </c>
      <c r="D63" s="110">
        <f>SUM(D47:D53)-SUM(D57:D62)</f>
        <v>-3476.3136694269124</v>
      </c>
      <c r="E63" s="110">
        <f>SUM(E47:E53)-SUM(E57:E62)</f>
        <v>-4516.3172046290238</v>
      </c>
      <c r="F63" s="110">
        <f>SUM(F47:F53)-SUM(F57:F62)</f>
        <v>-4746.9821330475424</v>
      </c>
      <c r="G63" s="110">
        <f>SUM(G47:G53)-SUM(G57:G62)</f>
        <v>-5178.1815854105653</v>
      </c>
      <c r="H63" s="160"/>
      <c r="I63" s="114">
        <f>SUM(I47:I53)-SUM(I57:I62)</f>
        <v>-6130.364439042959</v>
      </c>
      <c r="J63" s="110">
        <f>SUM(J47:J53)-SUM(J57:J62)</f>
        <v>-6654.513411369353</v>
      </c>
      <c r="K63" s="110">
        <f>SUM(K47:K53)-SUM(K57:K62)</f>
        <v>-7216.2812730844344</v>
      </c>
      <c r="L63" s="110">
        <f>SUM(L47:L53)-SUM(L57:L62)</f>
        <v>-7818.4985443097603</v>
      </c>
      <c r="M63" s="161">
        <f>SUM(M47:M53)-SUM(M57:M62)</f>
        <v>0</v>
      </c>
    </row>
    <row r="64" spans="2:13" ht="21.75" hidden="1" customHeight="1" outlineLevel="1" thickTop="1" thickBot="1">
      <c r="B64" s="162" t="s">
        <v>159</v>
      </c>
      <c r="C64" s="163">
        <f>SUM(C57:C63)</f>
        <v>1285</v>
      </c>
      <c r="D64" s="163">
        <f>SUM(D57:D63)</f>
        <v>1323</v>
      </c>
      <c r="E64" s="163">
        <f>SUM(E57:E63)</f>
        <v>1363</v>
      </c>
      <c r="F64" s="163">
        <f>SUM(F57:F63)</f>
        <v>1404.2093726379444</v>
      </c>
      <c r="G64" s="163">
        <f>SUM(G57:G63)</f>
        <v>1446.6646824682675</v>
      </c>
      <c r="H64" s="153"/>
      <c r="I64" s="164">
        <f>SUM(I57:I63)</f>
        <v>1535.464932869415</v>
      </c>
      <c r="J64" s="163">
        <f>SUM(J57:J63)</f>
        <v>1581.8886647777872</v>
      </c>
      <c r="K64" s="163">
        <f>SUM(K57:K63)</f>
        <v>1629.7159864641908</v>
      </c>
      <c r="L64" s="163">
        <f>SUM(L57:L63)</f>
        <v>1678.9893345054361</v>
      </c>
      <c r="M64" s="165">
        <f>SUM(M57:M63)</f>
        <v>0</v>
      </c>
    </row>
    <row r="65" spans="1:14" ht="21.75" hidden="1" customHeight="1" outlineLevel="1" thickTop="1">
      <c r="B65" s="166"/>
      <c r="C65" s="167"/>
      <c r="D65" s="167"/>
      <c r="E65" s="167"/>
      <c r="F65" s="167"/>
      <c r="G65" s="167"/>
      <c r="H65" s="153"/>
      <c r="I65" s="167"/>
      <c r="J65" s="167"/>
      <c r="K65" s="167"/>
      <c r="L65" s="167"/>
      <c r="M65" s="167"/>
    </row>
    <row r="66" spans="1:14" ht="21.75" hidden="1" customHeight="1" collapsed="1" thickBot="1">
      <c r="A66" s="102" t="s">
        <v>256</v>
      </c>
      <c r="B66" s="166"/>
      <c r="C66" s="167"/>
      <c r="D66" s="167">
        <f>D38-D39</f>
        <v>4799.3136694269124</v>
      </c>
      <c r="E66" s="167">
        <f t="shared" ref="E66:M66" si="22">E38-E39</f>
        <v>5879.3172046290238</v>
      </c>
      <c r="F66" s="167">
        <f t="shared" si="22"/>
        <v>6151.191505685485</v>
      </c>
      <c r="G66" s="167">
        <f t="shared" si="22"/>
        <v>6624.8462678788346</v>
      </c>
      <c r="H66" s="167">
        <f t="shared" si="22"/>
        <v>7128.929380603804</v>
      </c>
      <c r="I66" s="167">
        <f t="shared" si="22"/>
        <v>7665.8293719123722</v>
      </c>
      <c r="J66" s="167">
        <f t="shared" si="22"/>
        <v>8236.4020761471402</v>
      </c>
      <c r="K66" s="167">
        <f t="shared" si="22"/>
        <v>8845.9972595486252</v>
      </c>
      <c r="L66" s="167">
        <f t="shared" si="22"/>
        <v>9497.4878788151946</v>
      </c>
      <c r="M66" s="167">
        <f t="shared" si="22"/>
        <v>0</v>
      </c>
    </row>
    <row r="67" spans="1:14" ht="14.4" hidden="1" thickBot="1">
      <c r="A67" s="138"/>
      <c r="B67" s="168"/>
      <c r="C67" s="438"/>
      <c r="D67" s="182"/>
      <c r="E67" s="182"/>
      <c r="F67" s="182"/>
      <c r="G67" s="182"/>
      <c r="H67" s="184"/>
    </row>
    <row r="68" spans="1:14" ht="14.4" hidden="1" thickBot="1">
      <c r="A68" s="138" t="s">
        <v>269</v>
      </c>
      <c r="B68" s="180">
        <f>ROUND(-B18,1)</f>
        <v>-40000</v>
      </c>
      <c r="C68" s="169">
        <f>ROUND(C20-C67,1)</f>
        <v>-23373.8</v>
      </c>
      <c r="D68" s="169">
        <f>ROUND(D20-D67,1)</f>
        <v>19017.7</v>
      </c>
      <c r="E68" s="169">
        <f>ROUND(E20-E67,1)</f>
        <v>19883.7</v>
      </c>
      <c r="F68" s="169">
        <f>ROUND(F20-F67,1)</f>
        <v>20162.099999999999</v>
      </c>
      <c r="G68" s="169">
        <f>ROUND(G20-G67,1)</f>
        <v>20242</v>
      </c>
      <c r="H68" s="169">
        <f t="shared" ref="H68:L68" si="23">ROUND(H20-H67,1)</f>
        <v>20294.7</v>
      </c>
      <c r="I68" s="169">
        <f t="shared" si="23"/>
        <v>20319.2</v>
      </c>
      <c r="J68" s="169">
        <f t="shared" si="23"/>
        <v>20308.5</v>
      </c>
      <c r="K68" s="169">
        <f t="shared" si="23"/>
        <v>20262.8</v>
      </c>
      <c r="L68" s="169">
        <f t="shared" si="23"/>
        <v>20176.7</v>
      </c>
      <c r="M68" s="169">
        <f>ROUND(M13,0)</f>
        <v>0</v>
      </c>
      <c r="N68" s="169">
        <f>SUM(C68:L68)</f>
        <v>157293.6</v>
      </c>
    </row>
    <row r="69" spans="1:14" ht="14.4" hidden="1" thickBot="1">
      <c r="A69" s="138"/>
      <c r="C69" s="447">
        <v>7</v>
      </c>
      <c r="D69" s="441" t="s">
        <v>258</v>
      </c>
      <c r="H69" s="185"/>
    </row>
    <row r="70" spans="1:14" ht="28.2" hidden="1" thickBot="1">
      <c r="A70" s="138" t="s">
        <v>257</v>
      </c>
      <c r="B70" s="168"/>
      <c r="C70" s="170">
        <f>SUM(C68:I68)</f>
        <v>96545.599999999991</v>
      </c>
      <c r="D70" s="171">
        <f>J68</f>
        <v>20308.5</v>
      </c>
      <c r="E70" s="443">
        <f>-(D71/E71)/12</f>
        <v>0.26956446807986861</v>
      </c>
      <c r="F70" s="448">
        <f>C69+E70</f>
        <v>7.269564468079869</v>
      </c>
      <c r="G70" s="102" t="s">
        <v>168</v>
      </c>
      <c r="H70" s="444" t="s">
        <v>259</v>
      </c>
      <c r="I70" s="439"/>
    </row>
    <row r="71" spans="1:14" ht="14.4" hidden="1" thickBot="1">
      <c r="B71" s="168"/>
      <c r="C71" s="102">
        <f>-Δανεισμός!E11</f>
        <v>-102020.05</v>
      </c>
      <c r="D71" s="440">
        <f>C71+C70</f>
        <v>-5474.4500000000116</v>
      </c>
      <c r="E71" s="442">
        <f>D70/12</f>
        <v>1692.375</v>
      </c>
      <c r="F71" s="193">
        <f>D70/E70</f>
        <v>75338.193288823371</v>
      </c>
      <c r="G71" s="102" t="s">
        <v>169</v>
      </c>
      <c r="H71" s="440">
        <f>D71+E71</f>
        <v>-3782.0750000000116</v>
      </c>
      <c r="I71" s="102" t="s">
        <v>260</v>
      </c>
    </row>
    <row r="72" spans="1:14" hidden="1">
      <c r="B72" s="102" t="s">
        <v>181</v>
      </c>
      <c r="C72" s="183"/>
      <c r="D72" s="444" t="s">
        <v>259</v>
      </c>
      <c r="E72" s="445">
        <f>D71/D70</f>
        <v>-0.26956446807986861</v>
      </c>
      <c r="G72" s="183"/>
      <c r="H72" s="440">
        <f>H71+E71</f>
        <v>-2089.7000000000116</v>
      </c>
      <c r="I72" s="102" t="s">
        <v>261</v>
      </c>
    </row>
    <row r="73" spans="1:14" hidden="1">
      <c r="B73" s="168"/>
      <c r="C73" s="439"/>
      <c r="D73" s="439"/>
      <c r="E73" s="442">
        <f>E71/30</f>
        <v>56.412500000000001</v>
      </c>
      <c r="F73" s="439"/>
      <c r="G73" s="439"/>
      <c r="H73" s="440">
        <f>H72+E71</f>
        <v>-397.32500000001164</v>
      </c>
      <c r="I73" s="102" t="s">
        <v>262</v>
      </c>
    </row>
    <row r="74" spans="1:14" ht="14.4" hidden="1" thickBot="1">
      <c r="B74" s="168"/>
      <c r="C74" s="447">
        <v>4</v>
      </c>
      <c r="D74" s="441" t="s">
        <v>267</v>
      </c>
      <c r="H74" s="182">
        <f>H73/E73</f>
        <v>-7.0432085087526985</v>
      </c>
      <c r="I74" s="102" t="s">
        <v>263</v>
      </c>
    </row>
    <row r="75" spans="1:14" ht="28.2" hidden="1" thickBot="1">
      <c r="A75" s="138" t="s">
        <v>266</v>
      </c>
      <c r="B75" s="168"/>
      <c r="C75" s="170">
        <f>SUM(C38:F38)</f>
        <v>99172.244999508068</v>
      </c>
      <c r="D75" s="171">
        <f>G38</f>
        <v>26866.883503022793</v>
      </c>
      <c r="E75" s="443">
        <f>-(D76/E76)/12</f>
        <v>0.10599684925017555</v>
      </c>
      <c r="F75" s="448">
        <f>C74+E75</f>
        <v>4.1059968492501753</v>
      </c>
      <c r="G75" s="102" t="s">
        <v>168</v>
      </c>
      <c r="H75" s="442">
        <f>3*30+7.043205809</f>
        <v>97.043205809</v>
      </c>
      <c r="I75" s="102" t="s">
        <v>264</v>
      </c>
    </row>
    <row r="76" spans="1:14" ht="14.4" hidden="1" thickBot="1">
      <c r="B76" s="168"/>
      <c r="C76" s="102">
        <f>C71</f>
        <v>-102020.05</v>
      </c>
      <c r="D76" s="440">
        <f>C76+C75</f>
        <v>-2847.8050004919351</v>
      </c>
      <c r="E76" s="442">
        <f>D75/12</f>
        <v>2238.9069585852326</v>
      </c>
      <c r="F76" s="193">
        <f>D75/E75</f>
        <v>253468.69924040025</v>
      </c>
      <c r="G76" s="102" t="s">
        <v>169</v>
      </c>
      <c r="H76" s="446">
        <f>H75/360</f>
        <v>0.26956446058055555</v>
      </c>
      <c r="I76" s="445" t="s">
        <v>265</v>
      </c>
    </row>
    <row r="77" spans="1:14" hidden="1">
      <c r="B77" s="168"/>
      <c r="C77" s="183"/>
      <c r="D77" s="444" t="s">
        <v>259</v>
      </c>
      <c r="E77" s="445">
        <f>D76/D75</f>
        <v>-0.10599684925017554</v>
      </c>
      <c r="G77" s="183"/>
    </row>
    <row r="78" spans="1:14" hidden="1">
      <c r="B78" s="168"/>
      <c r="E78" s="442">
        <f>E76/30</f>
        <v>74.630231952841086</v>
      </c>
    </row>
    <row r="79" spans="1:14" hidden="1">
      <c r="B79" s="168"/>
      <c r="D79" s="444" t="s">
        <v>259</v>
      </c>
      <c r="E79" s="439"/>
    </row>
    <row r="80" spans="1:14" hidden="1">
      <c r="B80" s="168"/>
      <c r="D80" s="440">
        <f>D76+E76</f>
        <v>-608.89804190670247</v>
      </c>
      <c r="E80" s="102" t="s">
        <v>260</v>
      </c>
    </row>
    <row r="81" spans="2:5" hidden="1">
      <c r="B81" s="168"/>
      <c r="D81" s="440">
        <f>D80/E78</f>
        <v>-8.1588657300631962</v>
      </c>
      <c r="E81" s="102" t="s">
        <v>268</v>
      </c>
    </row>
    <row r="82" spans="2:5" hidden="1">
      <c r="B82" s="168"/>
      <c r="D82" s="440"/>
    </row>
    <row r="83" spans="2:5" hidden="1">
      <c r="B83" s="168"/>
      <c r="D83" s="182"/>
    </row>
    <row r="84" spans="2:5" hidden="1">
      <c r="D84" s="442">
        <f>1*30-D81</f>
        <v>38.158865730063198</v>
      </c>
      <c r="E84" s="102" t="s">
        <v>264</v>
      </c>
    </row>
    <row r="85" spans="2:5" hidden="1">
      <c r="D85" s="446">
        <f>D84/360</f>
        <v>0.10599684925017555</v>
      </c>
      <c r="E85" s="445" t="s">
        <v>265</v>
      </c>
    </row>
    <row r="86" spans="2:5" ht="14.4" thickTop="1"/>
  </sheetData>
  <mergeCells count="10">
    <mergeCell ref="A34:L34"/>
    <mergeCell ref="A1:L1"/>
    <mergeCell ref="B3:B4"/>
    <mergeCell ref="A13:B13"/>
    <mergeCell ref="A14:B14"/>
    <mergeCell ref="A5:L5"/>
    <mergeCell ref="A16:L16"/>
    <mergeCell ref="A22:L22"/>
    <mergeCell ref="A20:B20"/>
    <mergeCell ref="A21:B21"/>
  </mergeCells>
  <phoneticPr fontId="7" type="noConversion"/>
  <printOptions horizontalCentered="1"/>
  <pageMargins left="0.15748031496062992" right="0.15748031496062992" top="0.39370078740157483" bottom="0.35433070866141736" header="0.27559055118110237" footer="0.19685039370078741"/>
  <pageSetup paperSize="9" scale="73" orientation="landscape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159"/>
  <sheetViews>
    <sheetView topLeftCell="A4" zoomScaleNormal="100" zoomScaleSheetLayoutView="75" workbookViewId="0">
      <pane xSplit="8" ySplit="3" topLeftCell="K7" activePane="bottomRight" state="frozen"/>
      <selection activeCell="F51" sqref="F51"/>
      <selection pane="topRight" activeCell="F51" sqref="F51"/>
      <selection pane="bottomLeft" activeCell="F51" sqref="F51"/>
      <selection pane="bottomRight" activeCell="U18" sqref="U18"/>
    </sheetView>
  </sheetViews>
  <sheetFormatPr defaultColWidth="9.109375" defaultRowHeight="13.2" outlineLevelRow="2" outlineLevelCol="1"/>
  <cols>
    <col min="1" max="1" width="9.109375" style="13"/>
    <col min="2" max="2" width="2.109375" style="13" customWidth="1"/>
    <col min="3" max="3" width="2.6640625" style="13" customWidth="1"/>
    <col min="4" max="4" width="2.33203125" style="20" customWidth="1"/>
    <col min="5" max="5" width="3.44140625" style="13" customWidth="1"/>
    <col min="6" max="6" width="3.88671875" style="13" customWidth="1"/>
    <col min="7" max="7" width="48.109375" style="3" customWidth="1"/>
    <col min="8" max="8" width="3.6640625" style="3" customWidth="1"/>
    <col min="9" max="9" width="8.44140625" style="3" hidden="1" customWidth="1" outlineLevel="1"/>
    <col min="10" max="10" width="8.88671875" style="3" hidden="1" customWidth="1" outlineLevel="1"/>
    <col min="11" max="11" width="13.6640625" style="3" customWidth="1" collapsed="1"/>
    <col min="12" max="20" width="13.6640625" style="3" customWidth="1"/>
    <col min="21" max="16384" width="9.109375" style="3"/>
  </cols>
  <sheetData>
    <row r="3" spans="1:30" ht="13.8" thickBot="1"/>
    <row r="4" spans="1:30" ht="17.399999999999999" thickTop="1">
      <c r="B4" s="463" t="s">
        <v>117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5"/>
    </row>
    <row r="5" spans="1:30">
      <c r="B5" s="37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377"/>
    </row>
    <row r="6" spans="1:30" s="12" customFormat="1" hidden="1" outlineLevel="1">
      <c r="A6" s="11"/>
      <c r="B6" s="424"/>
      <c r="C6" s="425"/>
      <c r="D6" s="425"/>
      <c r="E6" s="425"/>
      <c r="F6" s="425"/>
      <c r="G6" s="425"/>
      <c r="H6" s="425"/>
      <c r="I6" s="425" t="s">
        <v>127</v>
      </c>
      <c r="J6" s="425" t="s">
        <v>128</v>
      </c>
      <c r="K6" s="425" t="s">
        <v>87</v>
      </c>
      <c r="L6" s="425" t="s">
        <v>88</v>
      </c>
      <c r="M6" s="425" t="s">
        <v>89</v>
      </c>
      <c r="N6" s="425" t="s">
        <v>90</v>
      </c>
      <c r="O6" s="425" t="s">
        <v>91</v>
      </c>
      <c r="P6" s="425" t="s">
        <v>200</v>
      </c>
      <c r="Q6" s="425" t="s">
        <v>201</v>
      </c>
      <c r="R6" s="425" t="s">
        <v>202</v>
      </c>
      <c r="S6" s="425" t="s">
        <v>203</v>
      </c>
      <c r="T6" s="426" t="s">
        <v>204</v>
      </c>
    </row>
    <row r="7" spans="1:30" collapsed="1">
      <c r="B7" s="423"/>
      <c r="C7" s="427" t="s">
        <v>9</v>
      </c>
      <c r="D7" s="428"/>
      <c r="E7" s="428"/>
      <c r="F7" s="428"/>
      <c r="G7" s="428"/>
      <c r="H7" s="428"/>
      <c r="I7" s="428" t="s">
        <v>240</v>
      </c>
      <c r="J7" s="428" t="s">
        <v>241</v>
      </c>
      <c r="K7" s="428" t="s">
        <v>251</v>
      </c>
      <c r="L7" s="428" t="s">
        <v>243</v>
      </c>
      <c r="M7" s="428" t="s">
        <v>244</v>
      </c>
      <c r="N7" s="428" t="s">
        <v>245</v>
      </c>
      <c r="O7" s="428" t="s">
        <v>246</v>
      </c>
      <c r="P7" s="428" t="s">
        <v>247</v>
      </c>
      <c r="Q7" s="428" t="s">
        <v>248</v>
      </c>
      <c r="R7" s="428" t="s">
        <v>249</v>
      </c>
      <c r="S7" s="428" t="s">
        <v>250</v>
      </c>
      <c r="T7" s="428" t="s">
        <v>270</v>
      </c>
    </row>
    <row r="8" spans="1:30">
      <c r="B8" s="376"/>
      <c r="C8" s="19" t="s">
        <v>21</v>
      </c>
      <c r="G8" s="13"/>
      <c r="H8" s="13"/>
      <c r="I8" s="13"/>
      <c r="J8" s="13"/>
      <c r="K8" s="378"/>
      <c r="L8" s="378"/>
      <c r="M8" s="378"/>
      <c r="N8" s="378"/>
      <c r="O8" s="378"/>
      <c r="P8" s="378"/>
      <c r="Q8" s="378"/>
      <c r="R8" s="378"/>
      <c r="S8" s="378"/>
      <c r="T8" s="37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B9" s="376"/>
      <c r="C9" s="19"/>
      <c r="G9" s="13"/>
      <c r="H9" s="13"/>
      <c r="I9" s="13"/>
      <c r="J9" s="13"/>
      <c r="K9" s="378"/>
      <c r="L9" s="378"/>
      <c r="M9" s="378"/>
      <c r="N9" s="378"/>
      <c r="O9" s="378"/>
      <c r="P9" s="378"/>
      <c r="Q9" s="378"/>
      <c r="R9" s="378"/>
      <c r="S9" s="378"/>
      <c r="T9" s="37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B10" s="376"/>
      <c r="D10" s="21" t="s">
        <v>22</v>
      </c>
      <c r="G10" s="13"/>
      <c r="H10" s="13"/>
      <c r="I10" s="13">
        <v>0</v>
      </c>
      <c r="J10" s="13">
        <v>0</v>
      </c>
      <c r="K10" s="378">
        <f>'Έσοδα από παραγωγή &amp; εμπορία'!D22</f>
        <v>77317</v>
      </c>
      <c r="L10" s="378">
        <f>'Έσοδα από παραγωγή &amp; εμπορία'!E22</f>
        <v>79630</v>
      </c>
      <c r="M10" s="378">
        <f>'Έσοδα από παραγωγή &amp; εμπορία'!F22</f>
        <v>87593</v>
      </c>
      <c r="N10" s="378">
        <f>'Έσοδα από παραγωγή &amp; εμπορία'!G22</f>
        <v>89782.824999999997</v>
      </c>
      <c r="O10" s="378">
        <f>'Έσοδα από παραγωγή &amp; εμπορία'!H22</f>
        <v>92027.395625000005</v>
      </c>
      <c r="P10" s="378">
        <f>'Έσοδα από παραγωγή &amp; εμπορία'!I22</f>
        <v>94328.080515624999</v>
      </c>
      <c r="Q10" s="378">
        <f>'Έσοδα από παραγωγή &amp; εμπορία'!J22</f>
        <v>96686.282528515614</v>
      </c>
      <c r="R10" s="378">
        <f>'Έσοδα από παραγωγή &amp; εμπορία'!K22</f>
        <v>99103.439591728515</v>
      </c>
      <c r="S10" s="378">
        <f>'Έσοδα από παραγωγή &amp; εμπορία'!L22</f>
        <v>101581.02558152174</v>
      </c>
      <c r="T10" s="379">
        <f>'Έσοδα από παραγωγή &amp; εμπορία'!M22</f>
        <v>104120.55122105978</v>
      </c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8" customFormat="1">
      <c r="A11" s="22"/>
      <c r="B11" s="380"/>
      <c r="C11" s="22"/>
      <c r="D11" s="22"/>
      <c r="E11" s="23"/>
      <c r="F11" s="22" t="s">
        <v>126</v>
      </c>
      <c r="G11" s="22"/>
      <c r="H11" s="22"/>
      <c r="I11" s="22"/>
      <c r="J11" s="22"/>
      <c r="K11" s="381"/>
      <c r="L11" s="382">
        <f>L10/K10-1</f>
        <v>2.9915801182146318E-2</v>
      </c>
      <c r="M11" s="382">
        <f>M10/L10-1</f>
        <v>0.10000000000000009</v>
      </c>
      <c r="N11" s="382">
        <f t="shared" ref="N11:T11" si="0">N10/M10-1</f>
        <v>2.4999999999999911E-2</v>
      </c>
      <c r="O11" s="382">
        <f t="shared" si="0"/>
        <v>2.5000000000000133E-2</v>
      </c>
      <c r="P11" s="382">
        <f t="shared" si="0"/>
        <v>2.4999999999999911E-2</v>
      </c>
      <c r="Q11" s="382">
        <f t="shared" si="0"/>
        <v>2.4999999999999911E-2</v>
      </c>
      <c r="R11" s="382">
        <f t="shared" si="0"/>
        <v>2.5000000000000133E-2</v>
      </c>
      <c r="S11" s="382">
        <f t="shared" si="0"/>
        <v>2.5000000000000133E-2</v>
      </c>
      <c r="T11" s="383">
        <f t="shared" si="0"/>
        <v>2.4999999999999911E-2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idden="1" outlineLevel="1">
      <c r="B12" s="376"/>
      <c r="D12" s="13"/>
      <c r="E12" s="25" t="s">
        <v>13</v>
      </c>
      <c r="G12" s="13"/>
      <c r="H12" s="13"/>
      <c r="I12" s="13"/>
      <c r="J12" s="13"/>
      <c r="K12" s="378">
        <f>'Κόστος Πωλήσεων'!E13</f>
        <v>0</v>
      </c>
      <c r="L12" s="378">
        <f>'Κόστος Πωλήσεων'!F13</f>
        <v>0</v>
      </c>
      <c r="M12" s="378">
        <f>'Κόστος Πωλήσεων'!G13</f>
        <v>0</v>
      </c>
      <c r="N12" s="378">
        <f>'Κόστος Πωλήσεων'!H13</f>
        <v>0</v>
      </c>
      <c r="O12" s="378">
        <f>'Κόστος Πωλήσεων'!I13</f>
        <v>0</v>
      </c>
      <c r="P12" s="378">
        <f>'Κόστος Πωλήσεων'!J13</f>
        <v>0</v>
      </c>
      <c r="Q12" s="378">
        <f>'Κόστος Πωλήσεων'!K13</f>
        <v>0</v>
      </c>
      <c r="R12" s="378">
        <f>'Κόστος Πωλήσεων'!L13</f>
        <v>0</v>
      </c>
      <c r="S12" s="378">
        <f>'Κόστος Πωλήσεων'!M13</f>
        <v>0</v>
      </c>
      <c r="T12" s="379">
        <f>'Κόστος Πωλήσεων'!N13</f>
        <v>0</v>
      </c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8" customFormat="1" ht="13.8" hidden="1" outlineLevel="1">
      <c r="A13" s="22"/>
      <c r="B13" s="380"/>
      <c r="C13" s="22"/>
      <c r="D13" s="22"/>
      <c r="E13" s="26"/>
      <c r="F13" s="22" t="s">
        <v>27</v>
      </c>
      <c r="G13" s="22"/>
      <c r="H13" s="22"/>
      <c r="I13" s="22"/>
      <c r="J13" s="22"/>
      <c r="K13" s="382">
        <f>K12/K$10</f>
        <v>0</v>
      </c>
      <c r="L13" s="382">
        <f>L12/L$10</f>
        <v>0</v>
      </c>
      <c r="M13" s="382">
        <f>M12/M$10</f>
        <v>0</v>
      </c>
      <c r="N13" s="382">
        <f t="shared" ref="N13:T13" si="1">N12/N$10</f>
        <v>0</v>
      </c>
      <c r="O13" s="382">
        <f t="shared" si="1"/>
        <v>0</v>
      </c>
      <c r="P13" s="382">
        <f t="shared" si="1"/>
        <v>0</v>
      </c>
      <c r="Q13" s="382">
        <f t="shared" si="1"/>
        <v>0</v>
      </c>
      <c r="R13" s="382">
        <f t="shared" si="1"/>
        <v>0</v>
      </c>
      <c r="S13" s="382">
        <f t="shared" si="1"/>
        <v>0</v>
      </c>
      <c r="T13" s="383">
        <f t="shared" si="1"/>
        <v>0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hidden="1" outlineLevel="1">
      <c r="B14" s="376"/>
      <c r="D14" s="19" t="s">
        <v>173</v>
      </c>
      <c r="G14" s="13"/>
      <c r="H14" s="13"/>
      <c r="I14" s="13"/>
      <c r="J14" s="13"/>
      <c r="K14" s="378">
        <f>K10-K12</f>
        <v>77317</v>
      </c>
      <c r="L14" s="378">
        <f>L10-L12</f>
        <v>79630</v>
      </c>
      <c r="M14" s="378">
        <f>M10-M12</f>
        <v>87593</v>
      </c>
      <c r="N14" s="378">
        <f t="shared" ref="N14:T14" si="2">N10-N12</f>
        <v>89782.824999999997</v>
      </c>
      <c r="O14" s="378">
        <f t="shared" si="2"/>
        <v>92027.395625000005</v>
      </c>
      <c r="P14" s="378">
        <f t="shared" si="2"/>
        <v>94328.080515624999</v>
      </c>
      <c r="Q14" s="378">
        <f t="shared" si="2"/>
        <v>96686.282528515614</v>
      </c>
      <c r="R14" s="378">
        <f t="shared" si="2"/>
        <v>99103.439591728515</v>
      </c>
      <c r="S14" s="378">
        <f t="shared" si="2"/>
        <v>101581.02558152174</v>
      </c>
      <c r="T14" s="379">
        <f t="shared" si="2"/>
        <v>104120.55122105978</v>
      </c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8" customFormat="1" ht="13.8" hidden="1" outlineLevel="1">
      <c r="A15" s="22"/>
      <c r="B15" s="380"/>
      <c r="C15" s="22"/>
      <c r="D15" s="22"/>
      <c r="E15" s="27"/>
      <c r="F15" s="22" t="s">
        <v>27</v>
      </c>
      <c r="G15" s="22"/>
      <c r="H15" s="22"/>
      <c r="I15" s="22"/>
      <c r="J15" s="22"/>
      <c r="K15" s="382">
        <f>K14/K$10</f>
        <v>1</v>
      </c>
      <c r="L15" s="382">
        <f>L14/L$10</f>
        <v>1</v>
      </c>
      <c r="M15" s="382">
        <f>M14/M$10</f>
        <v>1</v>
      </c>
      <c r="N15" s="382">
        <f t="shared" ref="N15:T15" si="3">N14/N$10</f>
        <v>1</v>
      </c>
      <c r="O15" s="382">
        <f t="shared" si="3"/>
        <v>1</v>
      </c>
      <c r="P15" s="382">
        <f t="shared" si="3"/>
        <v>1</v>
      </c>
      <c r="Q15" s="382">
        <f t="shared" si="3"/>
        <v>1</v>
      </c>
      <c r="R15" s="382">
        <f t="shared" si="3"/>
        <v>1</v>
      </c>
      <c r="S15" s="382">
        <f t="shared" si="3"/>
        <v>1</v>
      </c>
      <c r="T15" s="383">
        <f t="shared" si="3"/>
        <v>1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idden="1" outlineLevel="1">
      <c r="B16" s="376"/>
      <c r="D16" s="13"/>
      <c r="E16" s="25" t="s">
        <v>115</v>
      </c>
      <c r="G16" s="13"/>
      <c r="H16" s="13"/>
      <c r="I16" s="13"/>
      <c r="J16" s="13"/>
      <c r="K16" s="378">
        <v>0</v>
      </c>
      <c r="L16" s="378">
        <f>K16</f>
        <v>0</v>
      </c>
      <c r="M16" s="378">
        <f>L16</f>
        <v>0</v>
      </c>
      <c r="N16" s="378">
        <v>0</v>
      </c>
      <c r="O16" s="378">
        <f>N16</f>
        <v>0</v>
      </c>
      <c r="P16" s="378">
        <f>O16</f>
        <v>0</v>
      </c>
      <c r="Q16" s="378">
        <v>2</v>
      </c>
      <c r="R16" s="378">
        <v>0</v>
      </c>
      <c r="S16" s="378">
        <f>R16</f>
        <v>0</v>
      </c>
      <c r="T16" s="379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2:30" hidden="1" outlineLevel="1">
      <c r="B17" s="376"/>
      <c r="D17" s="19" t="s">
        <v>28</v>
      </c>
      <c r="G17" s="13"/>
      <c r="H17" s="13"/>
      <c r="I17" s="13"/>
      <c r="J17" s="13"/>
      <c r="K17" s="38">
        <f>K14+K16</f>
        <v>77317</v>
      </c>
      <c r="L17" s="38">
        <f>L14+L16</f>
        <v>79630</v>
      </c>
      <c r="M17" s="38">
        <f>M14+M16</f>
        <v>87593</v>
      </c>
      <c r="N17" s="38">
        <f t="shared" ref="N17:T17" si="4">N14+N16</f>
        <v>89782.824999999997</v>
      </c>
      <c r="O17" s="38">
        <f t="shared" si="4"/>
        <v>92027.395625000005</v>
      </c>
      <c r="P17" s="38">
        <f t="shared" si="4"/>
        <v>94328.080515624999</v>
      </c>
      <c r="Q17" s="38">
        <f t="shared" si="4"/>
        <v>96688.282528515614</v>
      </c>
      <c r="R17" s="38">
        <f t="shared" si="4"/>
        <v>99103.439591728515</v>
      </c>
      <c r="S17" s="38">
        <f t="shared" si="4"/>
        <v>101581.02558152174</v>
      </c>
      <c r="T17" s="384">
        <f t="shared" si="4"/>
        <v>104120.55122105978</v>
      </c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2:30" collapsed="1">
      <c r="B18" s="376"/>
      <c r="D18" s="19" t="s">
        <v>29</v>
      </c>
      <c r="G18" s="13"/>
      <c r="H18" s="13"/>
      <c r="I18" s="13"/>
      <c r="J18" s="13"/>
      <c r="K18" s="378"/>
      <c r="L18" s="378"/>
      <c r="M18" s="378"/>
      <c r="N18" s="378"/>
      <c r="O18" s="378"/>
      <c r="P18" s="378"/>
      <c r="Q18" s="378"/>
      <c r="R18" s="378"/>
      <c r="S18" s="378"/>
      <c r="T18" s="37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30" hidden="1" outlineLevel="1">
      <c r="B19" s="376"/>
      <c r="D19" s="21" t="s">
        <v>30</v>
      </c>
      <c r="E19" s="13" t="s">
        <v>16</v>
      </c>
      <c r="G19" s="13"/>
      <c r="H19" s="13"/>
      <c r="I19" s="13"/>
      <c r="J19" s="13"/>
      <c r="K19" s="378"/>
      <c r="L19" s="378"/>
      <c r="M19" s="378"/>
      <c r="N19" s="378"/>
      <c r="O19" s="378"/>
      <c r="P19" s="378"/>
      <c r="Q19" s="378"/>
      <c r="R19" s="378"/>
      <c r="S19" s="378"/>
      <c r="T19" s="37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2:30" hidden="1" outlineLevel="1">
      <c r="B20" s="376"/>
      <c r="D20" s="21" t="s">
        <v>31</v>
      </c>
      <c r="F20" s="22" t="s">
        <v>14</v>
      </c>
      <c r="G20" s="13"/>
      <c r="H20" s="13"/>
      <c r="I20" s="13"/>
      <c r="J20" s="13"/>
      <c r="K20" s="382">
        <f>K19/K23</f>
        <v>0</v>
      </c>
      <c r="L20" s="382">
        <f>K20</f>
        <v>0</v>
      </c>
      <c r="M20" s="382">
        <f>L20</f>
        <v>0</v>
      </c>
      <c r="N20" s="382">
        <f>N19/N23</f>
        <v>0</v>
      </c>
      <c r="O20" s="382">
        <f>N20</f>
        <v>0</v>
      </c>
      <c r="P20" s="382">
        <f>O20</f>
        <v>0</v>
      </c>
      <c r="Q20" s="382">
        <f>Q19/Q23</f>
        <v>0</v>
      </c>
      <c r="R20" s="382">
        <f>Q20</f>
        <v>0</v>
      </c>
      <c r="S20" s="382">
        <f>R20</f>
        <v>0</v>
      </c>
      <c r="T20" s="383">
        <f>T19/T23</f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2:30" hidden="1" outlineLevel="1">
      <c r="B21" s="376"/>
      <c r="D21" s="21" t="s">
        <v>31</v>
      </c>
      <c r="E21" s="13" t="s">
        <v>15</v>
      </c>
      <c r="G21" s="13"/>
      <c r="H21" s="13"/>
      <c r="I21" s="13"/>
      <c r="J21" s="13"/>
      <c r="K21" s="378">
        <v>0</v>
      </c>
      <c r="L21" s="378">
        <v>0</v>
      </c>
      <c r="M21" s="378">
        <v>0</v>
      </c>
      <c r="N21" s="378">
        <v>0</v>
      </c>
      <c r="O21" s="378">
        <v>0</v>
      </c>
      <c r="P21" s="378">
        <v>0</v>
      </c>
      <c r="Q21" s="378">
        <v>0</v>
      </c>
      <c r="R21" s="378">
        <v>0</v>
      </c>
      <c r="S21" s="378">
        <v>0</v>
      </c>
      <c r="T21" s="379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2:30" hidden="1" outlineLevel="1">
      <c r="B22" s="376"/>
      <c r="D22" s="21" t="s">
        <v>31</v>
      </c>
      <c r="E22" s="28"/>
      <c r="F22" s="22" t="s">
        <v>14</v>
      </c>
      <c r="G22" s="13"/>
      <c r="H22" s="13"/>
      <c r="I22" s="13"/>
      <c r="J22" s="13"/>
      <c r="K22" s="382">
        <v>0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3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2:30" collapsed="1">
      <c r="B23" s="376"/>
      <c r="D23" s="21"/>
      <c r="E23" s="28" t="s">
        <v>237</v>
      </c>
      <c r="G23" s="13"/>
      <c r="H23" s="13"/>
      <c r="I23" s="13"/>
      <c r="J23" s="13"/>
      <c r="K23" s="378">
        <f>'Έξοδα Λειτουργίας'!E40</f>
        <v>55323</v>
      </c>
      <c r="L23" s="378">
        <f>'Έξοδα Λειτουργίας'!F40</f>
        <v>57136</v>
      </c>
      <c r="M23" s="378">
        <f>'Έξοδα Λειτουργίας'!G40</f>
        <v>63193</v>
      </c>
      <c r="N23" s="378">
        <f>'Έξοδα Λειτουργίας'!H40</f>
        <v>64873.789373129868</v>
      </c>
      <c r="O23" s="378">
        <f>'Έξοδα Λειτουργίας'!I40</f>
        <v>66607.17680444548</v>
      </c>
      <c r="P23" s="378">
        <f>'Έξοδα Λειτουργίας'!J40</f>
        <v>68394.880329103791</v>
      </c>
      <c r="Q23" s="378">
        <f>'Έξοδα Λειτουργίας'!K40</f>
        <v>70238.676448510771</v>
      </c>
      <c r="R23" s="378">
        <f>'Έξοδα Λειτουργίας'!L40</f>
        <v>72140.402194176611</v>
      </c>
      <c r="S23" s="378">
        <f>'Έξοδα Λειτουργίας'!M40</f>
        <v>74101.95726669766</v>
      </c>
      <c r="T23" s="379">
        <f>'Έξοδα Λειτουργίας'!N40</f>
        <v>76125.306252668146</v>
      </c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2:30">
      <c r="B24" s="376"/>
      <c r="D24" s="21"/>
      <c r="E24" s="29"/>
      <c r="F24" s="22" t="s">
        <v>27</v>
      </c>
      <c r="G24" s="13"/>
      <c r="H24" s="13"/>
      <c r="I24" s="13"/>
      <c r="J24" s="13"/>
      <c r="K24" s="382">
        <f t="shared" ref="K24:T24" si="5">K23/K10</f>
        <v>0.71553474656285165</v>
      </c>
      <c r="L24" s="382">
        <f t="shared" si="5"/>
        <v>0.71751852316965969</v>
      </c>
      <c r="M24" s="382">
        <f t="shared" si="5"/>
        <v>0.72143892776820062</v>
      </c>
      <c r="N24" s="382">
        <f t="shared" si="5"/>
        <v>0.72256346771367319</v>
      </c>
      <c r="O24" s="382">
        <f t="shared" si="5"/>
        <v>0.72377552740774387</v>
      </c>
      <c r="P24" s="382">
        <f t="shared" si="5"/>
        <v>0.72507444183362246</v>
      </c>
      <c r="Q24" s="382">
        <f t="shared" si="5"/>
        <v>0.72645958259689347</v>
      </c>
      <c r="R24" s="382">
        <f t="shared" si="5"/>
        <v>0.72793035732533418</v>
      </c>
      <c r="S24" s="382">
        <f t="shared" si="5"/>
        <v>0.72948620908762807</v>
      </c>
      <c r="T24" s="383">
        <f t="shared" si="5"/>
        <v>0.73112661583058136</v>
      </c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2:30">
      <c r="B25" s="376"/>
      <c r="D25" s="21"/>
      <c r="E25" s="29"/>
      <c r="F25" s="2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377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2:30">
      <c r="B26" s="376"/>
      <c r="D26" s="19" t="s">
        <v>172</v>
      </c>
      <c r="G26" s="13"/>
      <c r="H26" s="13"/>
      <c r="I26" s="13"/>
      <c r="J26" s="13"/>
      <c r="K26" s="38">
        <f>K17-K23</f>
        <v>21994</v>
      </c>
      <c r="L26" s="38">
        <f>L17-L23</f>
        <v>22494</v>
      </c>
      <c r="M26" s="38">
        <f>M17-M23</f>
        <v>24400</v>
      </c>
      <c r="N26" s="38">
        <f t="shared" ref="N26:T26" si="6">N17-N23</f>
        <v>24909.035626870129</v>
      </c>
      <c r="O26" s="38">
        <f t="shared" si="6"/>
        <v>25420.218820554524</v>
      </c>
      <c r="P26" s="38">
        <f t="shared" si="6"/>
        <v>25933.200186521208</v>
      </c>
      <c r="Q26" s="38">
        <f t="shared" si="6"/>
        <v>26449.606080004844</v>
      </c>
      <c r="R26" s="38">
        <f t="shared" si="6"/>
        <v>26963.037397551903</v>
      </c>
      <c r="S26" s="38">
        <f t="shared" si="6"/>
        <v>27479.068314824079</v>
      </c>
      <c r="T26" s="384">
        <f t="shared" si="6"/>
        <v>27995.244968391635</v>
      </c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2:30">
      <c r="B27" s="376"/>
      <c r="D27" s="19"/>
      <c r="F27" s="22" t="s">
        <v>27</v>
      </c>
      <c r="G27" s="13"/>
      <c r="H27" s="13"/>
      <c r="I27" s="13"/>
      <c r="J27" s="13"/>
      <c r="K27" s="421">
        <f t="shared" ref="K27:T27" si="7">K26/K10</f>
        <v>0.28446525343714835</v>
      </c>
      <c r="L27" s="421">
        <f t="shared" si="7"/>
        <v>0.28248147683034031</v>
      </c>
      <c r="M27" s="421">
        <f t="shared" si="7"/>
        <v>0.27856107223179932</v>
      </c>
      <c r="N27" s="421">
        <f t="shared" si="7"/>
        <v>0.27743653228632681</v>
      </c>
      <c r="O27" s="421">
        <f t="shared" si="7"/>
        <v>0.27622447259225613</v>
      </c>
      <c r="P27" s="421">
        <f t="shared" si="7"/>
        <v>0.27492555816637759</v>
      </c>
      <c r="Q27" s="421">
        <f t="shared" si="7"/>
        <v>0.27356110286072982</v>
      </c>
      <c r="R27" s="421">
        <f t="shared" si="7"/>
        <v>0.27206964267466577</v>
      </c>
      <c r="S27" s="421">
        <f t="shared" si="7"/>
        <v>0.27051379091237193</v>
      </c>
      <c r="T27" s="422">
        <f t="shared" si="7"/>
        <v>0.26887338416941864</v>
      </c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2:30" hidden="1" outlineLevel="1">
      <c r="B28" s="376"/>
      <c r="D28" s="19" t="s">
        <v>32</v>
      </c>
      <c r="G28" s="13"/>
      <c r="H28" s="13"/>
      <c r="I28" s="13"/>
      <c r="J28" s="13"/>
      <c r="K28" s="378"/>
      <c r="L28" s="378"/>
      <c r="M28" s="378"/>
      <c r="N28" s="378"/>
      <c r="O28" s="378"/>
      <c r="P28" s="378"/>
      <c r="Q28" s="378"/>
      <c r="R28" s="378"/>
      <c r="S28" s="378"/>
      <c r="T28" s="37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2:30" hidden="1" outlineLevel="2">
      <c r="B29" s="376"/>
      <c r="D29" s="21" t="s">
        <v>31</v>
      </c>
      <c r="E29" s="13" t="s">
        <v>33</v>
      </c>
      <c r="G29" s="13"/>
      <c r="H29" s="13"/>
      <c r="I29" s="13"/>
      <c r="J29" s="13"/>
      <c r="K29" s="378">
        <v>0</v>
      </c>
      <c r="L29" s="378">
        <v>0</v>
      </c>
      <c r="M29" s="378">
        <v>0</v>
      </c>
      <c r="N29" s="378"/>
      <c r="O29" s="378"/>
      <c r="P29" s="378"/>
      <c r="Q29" s="378"/>
      <c r="R29" s="378"/>
      <c r="S29" s="378"/>
      <c r="T29" s="37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2:30" hidden="1" outlineLevel="2">
      <c r="B30" s="376"/>
      <c r="D30" s="21" t="s">
        <v>31</v>
      </c>
      <c r="E30" s="13" t="s">
        <v>34</v>
      </c>
      <c r="G30" s="13"/>
      <c r="H30" s="13"/>
      <c r="I30" s="13"/>
      <c r="J30" s="13"/>
      <c r="K30" s="378">
        <v>0</v>
      </c>
      <c r="L30" s="378">
        <v>0</v>
      </c>
      <c r="M30" s="378">
        <v>0</v>
      </c>
      <c r="N30" s="378"/>
      <c r="O30" s="378"/>
      <c r="P30" s="378"/>
      <c r="Q30" s="378"/>
      <c r="R30" s="378"/>
      <c r="S30" s="378"/>
      <c r="T30" s="37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idden="1" outlineLevel="2">
      <c r="B31" s="376"/>
      <c r="D31" s="21" t="s">
        <v>31</v>
      </c>
      <c r="E31" s="13" t="s">
        <v>35</v>
      </c>
      <c r="G31" s="13"/>
      <c r="H31" s="13"/>
      <c r="I31" s="13"/>
      <c r="J31" s="13"/>
      <c r="K31" s="378">
        <v>0</v>
      </c>
      <c r="L31" s="378">
        <v>0</v>
      </c>
      <c r="M31" s="378">
        <v>0</v>
      </c>
      <c r="N31" s="378"/>
      <c r="O31" s="378"/>
      <c r="P31" s="378"/>
      <c r="Q31" s="378"/>
      <c r="R31" s="378"/>
      <c r="S31" s="378"/>
      <c r="T31" s="37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2:30" hidden="1" outlineLevel="1" collapsed="1">
      <c r="B32" s="376"/>
      <c r="D32" s="21" t="s">
        <v>30</v>
      </c>
      <c r="E32" s="13" t="s">
        <v>36</v>
      </c>
      <c r="G32" s="13"/>
      <c r="H32" s="13"/>
      <c r="I32" s="13"/>
      <c r="J32" s="13"/>
      <c r="K32" s="378"/>
      <c r="L32" s="378"/>
      <c r="M32" s="378"/>
      <c r="N32" s="378"/>
      <c r="O32" s="378"/>
      <c r="P32" s="378">
        <f>SUM(M32:O32)</f>
        <v>0</v>
      </c>
      <c r="Q32" s="378"/>
      <c r="R32" s="378"/>
      <c r="S32" s="378"/>
      <c r="T32" s="37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2:30" hidden="1" outlineLevel="1">
      <c r="B33" s="376"/>
      <c r="D33" s="21"/>
      <c r="F33" s="13" t="s">
        <v>104</v>
      </c>
      <c r="G33" s="13"/>
      <c r="H33" s="13"/>
      <c r="I33" s="13"/>
      <c r="J33" s="13"/>
      <c r="K33" s="385">
        <v>1.4999999999999999E-2</v>
      </c>
      <c r="L33" s="385">
        <f>K33</f>
        <v>1.4999999999999999E-2</v>
      </c>
      <c r="M33" s="385">
        <f>L33</f>
        <v>1.4999999999999999E-2</v>
      </c>
      <c r="N33" s="385">
        <f>M33</f>
        <v>1.4999999999999999E-2</v>
      </c>
      <c r="O33" s="385">
        <f>N33</f>
        <v>1.4999999999999999E-2</v>
      </c>
      <c r="P33" s="385">
        <f>O33</f>
        <v>1.4999999999999999E-2</v>
      </c>
      <c r="Q33" s="385">
        <v>2.0150000000000001</v>
      </c>
      <c r="R33" s="385">
        <f>O33</f>
        <v>1.4999999999999999E-2</v>
      </c>
      <c r="S33" s="385">
        <f>R33</f>
        <v>1.4999999999999999E-2</v>
      </c>
      <c r="T33" s="386">
        <f>S33</f>
        <v>1.4999999999999999E-2</v>
      </c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2:30" collapsed="1">
      <c r="B34" s="376"/>
      <c r="D34" s="19" t="s">
        <v>37</v>
      </c>
      <c r="G34" s="13"/>
      <c r="H34" s="13"/>
      <c r="I34" s="13"/>
      <c r="J34" s="13"/>
      <c r="K34" s="378"/>
      <c r="L34" s="378"/>
      <c r="M34" s="378"/>
      <c r="N34" s="378"/>
      <c r="O34" s="378"/>
      <c r="P34" s="378"/>
      <c r="Q34" s="378"/>
      <c r="R34" s="378"/>
      <c r="S34" s="378"/>
      <c r="T34" s="37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2:30" hidden="1" outlineLevel="1">
      <c r="B35" s="376"/>
      <c r="D35" s="21" t="s">
        <v>31</v>
      </c>
      <c r="E35" s="13" t="s">
        <v>38</v>
      </c>
      <c r="G35" s="13"/>
      <c r="H35" s="13"/>
      <c r="I35" s="13"/>
      <c r="J35" s="13"/>
      <c r="K35" s="378">
        <v>0</v>
      </c>
      <c r="L35" s="378">
        <v>0</v>
      </c>
      <c r="M35" s="378">
        <v>0</v>
      </c>
      <c r="N35" s="378"/>
      <c r="O35" s="378"/>
      <c r="P35" s="378"/>
      <c r="Q35" s="378"/>
      <c r="R35" s="378"/>
      <c r="S35" s="378"/>
      <c r="T35" s="37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2:30" hidden="1" outlineLevel="1">
      <c r="B36" s="376"/>
      <c r="D36" s="21" t="s">
        <v>31</v>
      </c>
      <c r="E36" s="13" t="s">
        <v>39</v>
      </c>
      <c r="G36" s="13"/>
      <c r="H36" s="13"/>
      <c r="I36" s="13"/>
      <c r="J36" s="13"/>
      <c r="K36" s="378">
        <v>0</v>
      </c>
      <c r="L36" s="378">
        <v>0</v>
      </c>
      <c r="M36" s="378">
        <v>0</v>
      </c>
      <c r="N36" s="378"/>
      <c r="O36" s="378"/>
      <c r="P36" s="378"/>
      <c r="Q36" s="378"/>
      <c r="R36" s="378"/>
      <c r="S36" s="378"/>
      <c r="T36" s="37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2:30" collapsed="1">
      <c r="B37" s="376"/>
      <c r="D37" s="21" t="s">
        <v>31</v>
      </c>
      <c r="E37" s="13" t="s">
        <v>40</v>
      </c>
      <c r="G37" s="13"/>
      <c r="H37" s="13"/>
      <c r="I37" s="387">
        <f>Δανεισμός!D12</f>
        <v>0</v>
      </c>
      <c r="J37" s="387">
        <f>Δανεισμός!E12</f>
        <v>0</v>
      </c>
      <c r="K37" s="378">
        <f>Δανεισμός!F14</f>
        <v>9613.300926805523</v>
      </c>
      <c r="L37" s="378">
        <f>Δανεισμός!G14</f>
        <v>8979.9323730659653</v>
      </c>
      <c r="M37" s="378">
        <f>Δανεισμός!H14</f>
        <v>8284.4937010599315</v>
      </c>
      <c r="N37" s="378">
        <f>Δανεισμός!I14</f>
        <v>7520.9020391973063</v>
      </c>
      <c r="O37" s="378">
        <f>Δανεισμός!J14</f>
        <v>6682.4783944721457</v>
      </c>
      <c r="P37" s="378">
        <f>Δανεισμός!K14</f>
        <v>5761.8892325639154</v>
      </c>
      <c r="Q37" s="378">
        <f>Δανεισμός!L14</f>
        <v>4751.0823327886819</v>
      </c>
      <c r="R37" s="378">
        <f>Δανεισμός!M14</f>
        <v>3641.2163568354681</v>
      </c>
      <c r="S37" s="378">
        <f>Δανεισμός!N14</f>
        <v>2422.5835152388495</v>
      </c>
      <c r="T37" s="379">
        <f>Δανεισμός!O14</f>
        <v>1084.5246551657567</v>
      </c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2:30">
      <c r="B38" s="376"/>
      <c r="D38" s="19" t="s">
        <v>23</v>
      </c>
      <c r="G38" s="13"/>
      <c r="H38" s="13"/>
      <c r="I38" s="38">
        <f>I26+I29+I30+I31+I32-I35-I36-I37</f>
        <v>0</v>
      </c>
      <c r="J38" s="38">
        <f>J26+J29+J30+J31+J32-J35-J36-J37</f>
        <v>0</v>
      </c>
      <c r="K38" s="38">
        <f>K26+K29+K30+K31+K32-K35-K36-K37</f>
        <v>12380.699073194477</v>
      </c>
      <c r="L38" s="38">
        <f>L26+L29+L30+L31+L32-L35-L36-L37</f>
        <v>13514.067626934035</v>
      </c>
      <c r="M38" s="38">
        <f>M26+M29+M30+M31+M32-M35-M36-M37</f>
        <v>16115.506298940069</v>
      </c>
      <c r="N38" s="38">
        <f t="shared" ref="N38:T38" si="8">N26+N29+N30+N31+N32-N35-N36-N37</f>
        <v>17388.133587672823</v>
      </c>
      <c r="O38" s="38">
        <f t="shared" si="8"/>
        <v>18737.740426082379</v>
      </c>
      <c r="P38" s="38">
        <f t="shared" si="8"/>
        <v>20171.310953957291</v>
      </c>
      <c r="Q38" s="38">
        <f t="shared" si="8"/>
        <v>21698.523747216161</v>
      </c>
      <c r="R38" s="38">
        <f t="shared" si="8"/>
        <v>23321.821040716437</v>
      </c>
      <c r="S38" s="38">
        <f t="shared" si="8"/>
        <v>25056.484799585229</v>
      </c>
      <c r="T38" s="384">
        <f t="shared" si="8"/>
        <v>26910.720313225876</v>
      </c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2:30" hidden="1" outlineLevel="1">
      <c r="B39" s="376"/>
      <c r="D39" s="19" t="s">
        <v>41</v>
      </c>
      <c r="G39" s="13"/>
      <c r="H39" s="13"/>
      <c r="I39" s="13"/>
      <c r="J39" s="13"/>
      <c r="K39" s="378"/>
      <c r="L39" s="378"/>
      <c r="M39" s="378"/>
      <c r="N39" s="378"/>
      <c r="O39" s="378"/>
      <c r="P39" s="378"/>
      <c r="Q39" s="378"/>
      <c r="R39" s="378"/>
      <c r="S39" s="378"/>
      <c r="T39" s="37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2:30" hidden="1" outlineLevel="1">
      <c r="B40" s="376"/>
      <c r="D40" s="19" t="s">
        <v>24</v>
      </c>
      <c r="G40" s="13"/>
      <c r="H40" s="13"/>
      <c r="I40" s="13"/>
      <c r="J40" s="13"/>
      <c r="K40" s="378"/>
      <c r="L40" s="378"/>
      <c r="M40" s="378"/>
      <c r="N40" s="378"/>
      <c r="O40" s="378"/>
      <c r="P40" s="378"/>
      <c r="Q40" s="378"/>
      <c r="R40" s="378"/>
      <c r="S40" s="378"/>
      <c r="T40" s="37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2:30" hidden="1" outlineLevel="1">
      <c r="B41" s="376"/>
      <c r="D41" s="21" t="s">
        <v>31</v>
      </c>
      <c r="E41" s="13" t="s">
        <v>42</v>
      </c>
      <c r="G41" s="13"/>
      <c r="H41" s="13"/>
      <c r="I41" s="13"/>
      <c r="J41" s="13"/>
      <c r="K41" s="378"/>
      <c r="L41" s="378"/>
      <c r="M41" s="378"/>
      <c r="N41" s="378"/>
      <c r="O41" s="378"/>
      <c r="P41" s="378"/>
      <c r="Q41" s="378"/>
      <c r="R41" s="378"/>
      <c r="S41" s="378"/>
      <c r="T41" s="37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2:30" hidden="1" outlineLevel="1">
      <c r="B42" s="376"/>
      <c r="D42" s="21" t="s">
        <v>31</v>
      </c>
      <c r="E42" s="13" t="s">
        <v>43</v>
      </c>
      <c r="G42" s="13"/>
      <c r="H42" s="13"/>
      <c r="I42" s="13"/>
      <c r="J42" s="13"/>
      <c r="K42" s="378"/>
      <c r="L42" s="378"/>
      <c r="M42" s="378"/>
      <c r="N42" s="378"/>
      <c r="O42" s="378"/>
      <c r="P42" s="378"/>
      <c r="Q42" s="378"/>
      <c r="R42" s="378"/>
      <c r="S42" s="378"/>
      <c r="T42" s="37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2:30" hidden="1" outlineLevel="1">
      <c r="B43" s="376"/>
      <c r="D43" s="21" t="s">
        <v>31</v>
      </c>
      <c r="E43" s="13" t="s">
        <v>44</v>
      </c>
      <c r="G43" s="13"/>
      <c r="H43" s="13"/>
      <c r="I43" s="13"/>
      <c r="J43" s="13"/>
      <c r="K43" s="378"/>
      <c r="L43" s="378"/>
      <c r="M43" s="378"/>
      <c r="N43" s="378"/>
      <c r="O43" s="378"/>
      <c r="P43" s="378"/>
      <c r="Q43" s="378"/>
      <c r="R43" s="378"/>
      <c r="S43" s="378"/>
      <c r="T43" s="37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2:30" hidden="1" outlineLevel="1">
      <c r="B44" s="376"/>
      <c r="D44" s="21" t="s">
        <v>31</v>
      </c>
      <c r="E44" s="13" t="s">
        <v>45</v>
      </c>
      <c r="G44" s="13"/>
      <c r="H44" s="13"/>
      <c r="I44" s="13"/>
      <c r="J44" s="13"/>
      <c r="K44" s="378"/>
      <c r="L44" s="378"/>
      <c r="M44" s="378"/>
      <c r="N44" s="378"/>
      <c r="O44" s="378"/>
      <c r="P44" s="378"/>
      <c r="Q44" s="378"/>
      <c r="R44" s="378"/>
      <c r="S44" s="378"/>
      <c r="T44" s="37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2:30" hidden="1" outlineLevel="1">
      <c r="B45" s="376"/>
      <c r="D45" s="19" t="s">
        <v>28</v>
      </c>
      <c r="G45" s="13"/>
      <c r="H45" s="13"/>
      <c r="I45" s="13"/>
      <c r="J45" s="13"/>
      <c r="K45" s="378">
        <f>SUM(K41:K44)</f>
        <v>0</v>
      </c>
      <c r="L45" s="378">
        <f>SUM(L41:L44)</f>
        <v>0</v>
      </c>
      <c r="M45" s="378">
        <f>SUM(M41:M44)</f>
        <v>0</v>
      </c>
      <c r="N45" s="378">
        <f t="shared" ref="N45:T45" si="9">SUM(N41:N44)</f>
        <v>0</v>
      </c>
      <c r="O45" s="378">
        <f t="shared" si="9"/>
        <v>0</v>
      </c>
      <c r="P45" s="378">
        <f t="shared" si="9"/>
        <v>0</v>
      </c>
      <c r="Q45" s="378">
        <f t="shared" si="9"/>
        <v>0</v>
      </c>
      <c r="R45" s="378">
        <f t="shared" si="9"/>
        <v>0</v>
      </c>
      <c r="S45" s="378">
        <f t="shared" si="9"/>
        <v>0</v>
      </c>
      <c r="T45" s="379">
        <f t="shared" si="9"/>
        <v>0</v>
      </c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2:30" hidden="1" outlineLevel="1">
      <c r="B46" s="376"/>
      <c r="D46" s="19" t="s">
        <v>37</v>
      </c>
      <c r="G46" s="13"/>
      <c r="H46" s="13"/>
      <c r="I46" s="13"/>
      <c r="J46" s="13"/>
      <c r="K46" s="378"/>
      <c r="L46" s="378"/>
      <c r="M46" s="378"/>
      <c r="N46" s="378"/>
      <c r="O46" s="378"/>
      <c r="P46" s="378"/>
      <c r="Q46" s="378"/>
      <c r="R46" s="378"/>
      <c r="S46" s="378"/>
      <c r="T46" s="37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2:30" hidden="1" outlineLevel="1">
      <c r="B47" s="376"/>
      <c r="D47" s="21" t="s">
        <v>31</v>
      </c>
      <c r="E47" s="13" t="s">
        <v>46</v>
      </c>
      <c r="G47" s="13"/>
      <c r="H47" s="13"/>
      <c r="I47" s="13"/>
      <c r="J47" s="13"/>
      <c r="K47" s="378">
        <v>0</v>
      </c>
      <c r="L47" s="378">
        <v>0</v>
      </c>
      <c r="M47" s="378">
        <v>0</v>
      </c>
      <c r="N47" s="378">
        <v>1</v>
      </c>
      <c r="O47" s="378">
        <v>2</v>
      </c>
      <c r="P47" s="378">
        <v>3</v>
      </c>
      <c r="Q47" s="378">
        <v>4</v>
      </c>
      <c r="R47" s="378">
        <v>5</v>
      </c>
      <c r="S47" s="378">
        <v>6</v>
      </c>
      <c r="T47" s="379">
        <v>7</v>
      </c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2:30" hidden="1" outlineLevel="1">
      <c r="B48" s="376"/>
      <c r="D48" s="21" t="s">
        <v>31</v>
      </c>
      <c r="E48" s="13" t="s">
        <v>47</v>
      </c>
      <c r="G48" s="13"/>
      <c r="H48" s="13"/>
      <c r="I48" s="13"/>
      <c r="J48" s="13"/>
      <c r="K48" s="378"/>
      <c r="L48" s="378"/>
      <c r="M48" s="378"/>
      <c r="N48" s="378"/>
      <c r="O48" s="378"/>
      <c r="P48" s="378"/>
      <c r="Q48" s="378"/>
      <c r="R48" s="378"/>
      <c r="S48" s="378"/>
      <c r="T48" s="37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idden="1" outlineLevel="1">
      <c r="B49" s="376"/>
      <c r="D49" s="21" t="s">
        <v>31</v>
      </c>
      <c r="E49" s="13" t="s">
        <v>48</v>
      </c>
      <c r="G49" s="13"/>
      <c r="H49" s="13"/>
      <c r="I49" s="13"/>
      <c r="J49" s="13"/>
      <c r="K49" s="378"/>
      <c r="L49" s="378"/>
      <c r="M49" s="378"/>
      <c r="N49" s="378"/>
      <c r="O49" s="378"/>
      <c r="P49" s="378"/>
      <c r="Q49" s="378"/>
      <c r="R49" s="378"/>
      <c r="S49" s="378"/>
      <c r="T49" s="37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idden="1" outlineLevel="1">
      <c r="B50" s="376"/>
      <c r="D50" s="21" t="s">
        <v>31</v>
      </c>
      <c r="E50" s="13" t="s">
        <v>49</v>
      </c>
      <c r="G50" s="13"/>
      <c r="H50" s="13"/>
      <c r="I50" s="13"/>
      <c r="J50" s="13"/>
      <c r="K50" s="378"/>
      <c r="L50" s="378"/>
      <c r="M50" s="378"/>
      <c r="N50" s="378"/>
      <c r="O50" s="378"/>
      <c r="P50" s="378"/>
      <c r="Q50" s="378"/>
      <c r="R50" s="378"/>
      <c r="S50" s="378"/>
      <c r="T50" s="37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idden="1" outlineLevel="1">
      <c r="B51" s="376"/>
      <c r="D51" s="19" t="s">
        <v>28</v>
      </c>
      <c r="G51" s="13"/>
      <c r="H51" s="13"/>
      <c r="I51" s="13"/>
      <c r="J51" s="13"/>
      <c r="K51" s="378">
        <f>SUM(K47:K50)</f>
        <v>0</v>
      </c>
      <c r="L51" s="378">
        <f>SUM(L47:L50)</f>
        <v>0</v>
      </c>
      <c r="M51" s="378">
        <f>SUM(M47:M50)</f>
        <v>0</v>
      </c>
      <c r="N51" s="378">
        <f t="shared" ref="N51:T51" si="10">SUM(N47:N50)</f>
        <v>1</v>
      </c>
      <c r="O51" s="378">
        <f t="shared" si="10"/>
        <v>2</v>
      </c>
      <c r="P51" s="378">
        <f t="shared" si="10"/>
        <v>3</v>
      </c>
      <c r="Q51" s="378">
        <f t="shared" si="10"/>
        <v>4</v>
      </c>
      <c r="R51" s="378">
        <f t="shared" si="10"/>
        <v>5</v>
      </c>
      <c r="S51" s="378">
        <f t="shared" si="10"/>
        <v>6</v>
      </c>
      <c r="T51" s="379">
        <f t="shared" si="10"/>
        <v>7</v>
      </c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idden="1" outlineLevel="1">
      <c r="B52" s="376"/>
      <c r="D52" s="19" t="s">
        <v>25</v>
      </c>
      <c r="G52" s="13"/>
      <c r="H52" s="13"/>
      <c r="I52" s="378">
        <f>I38+I45-I51</f>
        <v>0</v>
      </c>
      <c r="J52" s="378">
        <f>J38+J45-J51</f>
        <v>0</v>
      </c>
      <c r="K52" s="378">
        <f>K38+K45-K51</f>
        <v>12380.699073194477</v>
      </c>
      <c r="L52" s="378">
        <f>L38+L45-L51</f>
        <v>13514.067626934035</v>
      </c>
      <c r="M52" s="378">
        <f>M38+M45-M51</f>
        <v>16115.506298940069</v>
      </c>
      <c r="N52" s="378">
        <f t="shared" ref="N52:T52" si="11">N38+N45-N51</f>
        <v>17387.133587672823</v>
      </c>
      <c r="O52" s="378">
        <f t="shared" si="11"/>
        <v>18735.740426082379</v>
      </c>
      <c r="P52" s="378">
        <f t="shared" si="11"/>
        <v>20168.310953957291</v>
      </c>
      <c r="Q52" s="378">
        <f t="shared" si="11"/>
        <v>21694.523747216161</v>
      </c>
      <c r="R52" s="378">
        <f t="shared" si="11"/>
        <v>23316.821040716437</v>
      </c>
      <c r="S52" s="378">
        <f t="shared" si="11"/>
        <v>25050.484799585229</v>
      </c>
      <c r="T52" s="379">
        <f t="shared" si="11"/>
        <v>26903.720313225876</v>
      </c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collapsed="1">
      <c r="B53" s="376"/>
      <c r="D53" s="19" t="s">
        <v>37</v>
      </c>
      <c r="G53" s="13"/>
      <c r="H53" s="13"/>
      <c r="I53" s="13"/>
      <c r="J53" s="13"/>
      <c r="K53" s="378"/>
      <c r="L53" s="378"/>
      <c r="M53" s="378"/>
      <c r="N53" s="378"/>
      <c r="O53" s="378"/>
      <c r="P53" s="378"/>
      <c r="Q53" s="378"/>
      <c r="R53" s="378"/>
      <c r="S53" s="378"/>
      <c r="T53" s="37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>
      <c r="B54" s="376"/>
      <c r="D54" s="13"/>
      <c r="E54" s="21" t="s">
        <v>26</v>
      </c>
      <c r="F54" s="20"/>
      <c r="G54" s="20"/>
      <c r="H54" s="13"/>
      <c r="I54" s="13"/>
      <c r="J54" s="13"/>
      <c r="K54" s="378">
        <f>'Έξοδα Λειτουργίας'!E19</f>
        <v>1285</v>
      </c>
      <c r="L54" s="378">
        <f>'Έξοδα Λειτουργίας'!F19</f>
        <v>1323</v>
      </c>
      <c r="M54" s="378">
        <f>'Έξοδα Λειτουργίας'!G19</f>
        <v>1363</v>
      </c>
      <c r="N54" s="378">
        <f>'Έξοδα Λειτουργίας'!H19</f>
        <v>1404.2093726379442</v>
      </c>
      <c r="O54" s="378">
        <f>'Έξοδα Λειτουργίας'!I19</f>
        <v>1446.6646824682675</v>
      </c>
      <c r="P54" s="378">
        <f>'Έξοδα Λειτουργίας'!J19</f>
        <v>1490.4035995496965</v>
      </c>
      <c r="Q54" s="378">
        <f>'Έξοδα Λειτουργίας'!K19</f>
        <v>1535.4649328694152</v>
      </c>
      <c r="R54" s="378">
        <f>'Έξοδα Λειτουργίας'!L19</f>
        <v>1581.8886647777874</v>
      </c>
      <c r="S54" s="378">
        <f>'Έξοδα Λειτουργίας'!M19</f>
        <v>1629.7159864641908</v>
      </c>
      <c r="T54" s="379">
        <f>'Έξοδα Λειτουργίας'!N19</f>
        <v>1678.9893345054361</v>
      </c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>
      <c r="B55" s="376"/>
      <c r="D55" s="13"/>
      <c r="E55" s="231" t="s">
        <v>194</v>
      </c>
      <c r="F55" s="20"/>
      <c r="G55" s="20"/>
      <c r="H55" s="13"/>
      <c r="I55" s="13"/>
      <c r="J55" s="13"/>
      <c r="K55" s="378">
        <f t="shared" ref="K55:T55" si="12">K54</f>
        <v>1285</v>
      </c>
      <c r="L55" s="378">
        <f t="shared" si="12"/>
        <v>1323</v>
      </c>
      <c r="M55" s="378">
        <f t="shared" si="12"/>
        <v>1363</v>
      </c>
      <c r="N55" s="378">
        <f t="shared" si="12"/>
        <v>1404.2093726379442</v>
      </c>
      <c r="O55" s="378">
        <f t="shared" si="12"/>
        <v>1446.6646824682675</v>
      </c>
      <c r="P55" s="378">
        <f t="shared" si="12"/>
        <v>1490.4035995496965</v>
      </c>
      <c r="Q55" s="378">
        <f t="shared" si="12"/>
        <v>1535.4649328694152</v>
      </c>
      <c r="R55" s="378">
        <f t="shared" si="12"/>
        <v>1581.8886647777874</v>
      </c>
      <c r="S55" s="378">
        <f t="shared" si="12"/>
        <v>1629.7159864641908</v>
      </c>
      <c r="T55" s="379">
        <f t="shared" si="12"/>
        <v>1678.9893345054361</v>
      </c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>
      <c r="B56" s="388"/>
      <c r="C56" s="31" t="s">
        <v>69</v>
      </c>
      <c r="D56" s="4"/>
      <c r="E56" s="4"/>
      <c r="F56" s="4"/>
      <c r="G56" s="4"/>
      <c r="H56" s="4"/>
      <c r="I56" s="5">
        <f t="shared" ref="I56:N56" si="13">I52-I54+I55</f>
        <v>0</v>
      </c>
      <c r="J56" s="5">
        <f t="shared" si="13"/>
        <v>0</v>
      </c>
      <c r="K56" s="5">
        <f t="shared" si="13"/>
        <v>12380.699073194477</v>
      </c>
      <c r="L56" s="5">
        <f t="shared" si="13"/>
        <v>13514.067626934035</v>
      </c>
      <c r="M56" s="5">
        <f t="shared" si="13"/>
        <v>16115.506298940069</v>
      </c>
      <c r="N56" s="5">
        <f t="shared" si="13"/>
        <v>17387.133587672823</v>
      </c>
      <c r="O56" s="5">
        <f t="shared" ref="O56:T56" si="14">O52-O54+O55</f>
        <v>18735.740426082379</v>
      </c>
      <c r="P56" s="5">
        <f t="shared" si="14"/>
        <v>20168.310953957291</v>
      </c>
      <c r="Q56" s="5">
        <f t="shared" si="14"/>
        <v>21694.523747216161</v>
      </c>
      <c r="R56" s="5">
        <f t="shared" si="14"/>
        <v>23316.821040716437</v>
      </c>
      <c r="S56" s="5">
        <f t="shared" si="14"/>
        <v>25050.484799585229</v>
      </c>
      <c r="T56" s="389">
        <f t="shared" si="14"/>
        <v>26903.720313225876</v>
      </c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s="8" customFormat="1">
      <c r="A57" s="22"/>
      <c r="B57" s="380"/>
      <c r="C57" s="401"/>
      <c r="D57" s="401"/>
      <c r="E57" s="401" t="s">
        <v>27</v>
      </c>
      <c r="F57" s="401"/>
      <c r="G57" s="401"/>
      <c r="H57" s="401"/>
      <c r="I57" s="402" t="e">
        <f>I56/I$10</f>
        <v>#DIV/0!</v>
      </c>
      <c r="J57" s="402" t="e">
        <f>J56/J$10</f>
        <v>#DIV/0!</v>
      </c>
      <c r="K57" s="419">
        <f>K56/K$10</f>
        <v>0.16012906699942414</v>
      </c>
      <c r="L57" s="419">
        <f>L56/L$10</f>
        <v>0.16971075759053164</v>
      </c>
      <c r="M57" s="419">
        <f>M56/M$10</f>
        <v>0.18398166861438778</v>
      </c>
      <c r="N57" s="419">
        <f t="shared" ref="N57:T57" si="15">N56/N$10</f>
        <v>0.19365767993681224</v>
      </c>
      <c r="O57" s="419">
        <f t="shared" si="15"/>
        <v>0.20358872810470646</v>
      </c>
      <c r="P57" s="419">
        <f t="shared" si="15"/>
        <v>0.21381025505566717</v>
      </c>
      <c r="Q57" s="419">
        <f t="shared" si="15"/>
        <v>0.22438057581557974</v>
      </c>
      <c r="R57" s="419">
        <f t="shared" si="15"/>
        <v>0.23527761636501798</v>
      </c>
      <c r="S57" s="419">
        <f t="shared" si="15"/>
        <v>0.24660594492109633</v>
      </c>
      <c r="T57" s="420">
        <f t="shared" si="15"/>
        <v>0.25839010644600041</v>
      </c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hidden="1" outlineLevel="1">
      <c r="B58" s="390"/>
      <c r="C58" s="19"/>
      <c r="D58" s="37" t="s">
        <v>103</v>
      </c>
      <c r="E58" s="32"/>
      <c r="F58" s="32"/>
      <c r="G58" s="32"/>
      <c r="H58" s="32"/>
      <c r="I58" s="38" t="e">
        <f>H58+I56+#REF!</f>
        <v>#REF!</v>
      </c>
      <c r="J58" s="38" t="e">
        <f>I58+J56+#REF!</f>
        <v>#REF!</v>
      </c>
      <c r="K58" s="38"/>
      <c r="L58" s="38"/>
      <c r="M58" s="38"/>
      <c r="N58" s="38"/>
      <c r="O58" s="38"/>
      <c r="P58" s="38"/>
      <c r="Q58" s="378"/>
      <c r="R58" s="378"/>
      <c r="S58" s="378"/>
      <c r="T58" s="37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collapsed="1">
      <c r="B59" s="396"/>
      <c r="C59" s="397"/>
      <c r="D59" s="398"/>
      <c r="E59" s="374"/>
      <c r="F59" s="374"/>
      <c r="G59" s="374"/>
      <c r="H59" s="374"/>
      <c r="I59" s="374"/>
      <c r="J59" s="374"/>
      <c r="K59" s="399"/>
      <c r="L59" s="399"/>
      <c r="M59" s="399"/>
      <c r="N59" s="399"/>
      <c r="O59" s="399"/>
      <c r="P59" s="399"/>
      <c r="Q59" s="375"/>
      <c r="R59" s="375"/>
      <c r="S59" s="375"/>
      <c r="T59" s="400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>
      <c r="B60" s="388"/>
      <c r="C60" s="31" t="s">
        <v>107</v>
      </c>
      <c r="D60" s="4"/>
      <c r="E60" s="4"/>
      <c r="F60" s="4"/>
      <c r="G60" s="4"/>
      <c r="H60" s="4"/>
      <c r="I60" s="4"/>
      <c r="J60" s="4"/>
      <c r="K60" s="5">
        <f>+K26+K55</f>
        <v>23279</v>
      </c>
      <c r="L60" s="5">
        <f>+L26+L55</f>
        <v>23817</v>
      </c>
      <c r="M60" s="5">
        <f>+M26+M55</f>
        <v>25763</v>
      </c>
      <c r="N60" s="5">
        <f t="shared" ref="N60:T60" si="16">+N26+N55</f>
        <v>26313.244999508071</v>
      </c>
      <c r="O60" s="5">
        <f t="shared" si="16"/>
        <v>26866.883503022793</v>
      </c>
      <c r="P60" s="5">
        <f t="shared" si="16"/>
        <v>27423.603786070904</v>
      </c>
      <c r="Q60" s="5">
        <f t="shared" si="16"/>
        <v>27985.071012874258</v>
      </c>
      <c r="R60" s="5">
        <f t="shared" si="16"/>
        <v>28544.92606232969</v>
      </c>
      <c r="S60" s="5">
        <f t="shared" si="16"/>
        <v>29108.784301288269</v>
      </c>
      <c r="T60" s="389">
        <f t="shared" si="16"/>
        <v>29674.234302897072</v>
      </c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s="8" customFormat="1" ht="13.8" thickBot="1">
      <c r="A61" s="22"/>
      <c r="B61" s="429"/>
      <c r="C61" s="430"/>
      <c r="D61" s="430"/>
      <c r="E61" s="430" t="s">
        <v>27</v>
      </c>
      <c r="F61" s="430"/>
      <c r="G61" s="430"/>
      <c r="H61" s="430"/>
      <c r="I61" s="430"/>
      <c r="J61" s="430"/>
      <c r="K61" s="431">
        <f>K60/K$10</f>
        <v>0.30108514298278516</v>
      </c>
      <c r="L61" s="431">
        <f>L60/L$10</f>
        <v>0.29909581815898528</v>
      </c>
      <c r="M61" s="431">
        <f>M60/M$10</f>
        <v>0.29412167638966585</v>
      </c>
      <c r="N61" s="431">
        <f t="shared" ref="N61:T61" si="17">N60/N$10</f>
        <v>0.29307659899884053</v>
      </c>
      <c r="O61" s="431">
        <f t="shared" si="17"/>
        <v>0.29194440764684837</v>
      </c>
      <c r="P61" s="431">
        <f t="shared" si="17"/>
        <v>0.29072576942269396</v>
      </c>
      <c r="Q61" s="431">
        <f t="shared" si="17"/>
        <v>0.28944200026121225</v>
      </c>
      <c r="R61" s="431">
        <f t="shared" si="17"/>
        <v>0.28803163825518868</v>
      </c>
      <c r="S61" s="431">
        <f t="shared" si="17"/>
        <v>0.28655729881293251</v>
      </c>
      <c r="T61" s="432">
        <f t="shared" si="17"/>
        <v>0.28499882064488208</v>
      </c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ht="13.8" thickTop="1">
      <c r="B62" s="433"/>
      <c r="C62" s="433"/>
      <c r="D62" s="434"/>
      <c r="E62" s="433"/>
      <c r="F62" s="433"/>
      <c r="G62" s="433"/>
      <c r="H62" s="433"/>
      <c r="I62" s="433"/>
      <c r="J62" s="433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idden="1" outlineLevel="1">
      <c r="B63" s="59"/>
      <c r="C63" s="374" t="s">
        <v>66</v>
      </c>
      <c r="D63" s="76"/>
      <c r="E63" s="59"/>
      <c r="F63" s="59"/>
      <c r="G63" s="59"/>
      <c r="H63" s="59"/>
      <c r="I63" s="59"/>
      <c r="J63" s="59"/>
      <c r="K63" s="375"/>
      <c r="L63" s="375"/>
      <c r="M63" s="375"/>
      <c r="N63" s="375"/>
      <c r="O63" s="375"/>
      <c r="P63" s="375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idden="1" outlineLevel="1">
      <c r="C64" s="21" t="s">
        <v>50</v>
      </c>
      <c r="K64" s="9">
        <f t="shared" ref="K64:T64" si="18">K56</f>
        <v>12380.699073194477</v>
      </c>
      <c r="L64" s="9">
        <f t="shared" si="18"/>
        <v>13514.067626934035</v>
      </c>
      <c r="M64" s="9">
        <f t="shared" si="18"/>
        <v>16115.506298940069</v>
      </c>
      <c r="N64" s="9">
        <f t="shared" si="18"/>
        <v>17387.133587672823</v>
      </c>
      <c r="O64" s="9">
        <f t="shared" si="18"/>
        <v>18735.740426082379</v>
      </c>
      <c r="P64" s="9">
        <f t="shared" si="18"/>
        <v>20168.310953957291</v>
      </c>
      <c r="Q64" s="9">
        <f t="shared" si="18"/>
        <v>21694.523747216161</v>
      </c>
      <c r="R64" s="9">
        <f t="shared" si="18"/>
        <v>23316.821040716437</v>
      </c>
      <c r="S64" s="9">
        <f t="shared" si="18"/>
        <v>25050.484799585229</v>
      </c>
      <c r="T64" s="9">
        <f t="shared" si="18"/>
        <v>26903.720313225876</v>
      </c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idden="1" outlineLevel="1">
      <c r="C65" s="21" t="s">
        <v>174</v>
      </c>
      <c r="K65" s="9">
        <f>H88</f>
        <v>0</v>
      </c>
      <c r="L65" s="9">
        <f t="shared" ref="L65:T65" si="19">K88</f>
        <v>7645.0816776975898</v>
      </c>
      <c r="M65" s="9">
        <f t="shared" si="19"/>
        <v>15990.018437329356</v>
      </c>
      <c r="N65" s="9">
        <f t="shared" si="19"/>
        <v>25941.343576924846</v>
      </c>
      <c r="O65" s="9">
        <f t="shared" si="19"/>
        <v>36677.898567312819</v>
      </c>
      <c r="P65" s="9">
        <f t="shared" si="19"/>
        <v>48247.218280418689</v>
      </c>
      <c r="Q65" s="9">
        <f t="shared" si="19"/>
        <v>60700.200294487317</v>
      </c>
      <c r="R65" s="9">
        <f t="shared" si="19"/>
        <v>74094.668708393292</v>
      </c>
      <c r="S65" s="9">
        <f t="shared" si="19"/>
        <v>88489.95570103568</v>
      </c>
      <c r="T65" s="9">
        <f t="shared" si="19"/>
        <v>103954.83006477955</v>
      </c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idden="1" outlineLevel="1">
      <c r="C66" s="21" t="s">
        <v>67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idden="1" outlineLevel="1">
      <c r="C67" s="21" t="s">
        <v>68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idden="1" outlineLevel="1">
      <c r="C68" s="19" t="s">
        <v>28</v>
      </c>
      <c r="K68" s="9">
        <f t="shared" ref="K68:T68" si="20">SUM(K64:K67)</f>
        <v>12380.699073194477</v>
      </c>
      <c r="L68" s="9">
        <f t="shared" si="20"/>
        <v>21159.149304631625</v>
      </c>
      <c r="M68" s="9">
        <f t="shared" si="20"/>
        <v>32105.524736269424</v>
      </c>
      <c r="N68" s="9">
        <f t="shared" si="20"/>
        <v>43328.477164597673</v>
      </c>
      <c r="O68" s="9">
        <f t="shared" si="20"/>
        <v>55413.638993395201</v>
      </c>
      <c r="P68" s="9">
        <f t="shared" si="20"/>
        <v>68415.529234375979</v>
      </c>
      <c r="Q68" s="9">
        <f t="shared" si="20"/>
        <v>82394.724041703477</v>
      </c>
      <c r="R68" s="9">
        <f t="shared" si="20"/>
        <v>97411.489749109722</v>
      </c>
      <c r="S68" s="9">
        <f t="shared" si="20"/>
        <v>113540.44050062091</v>
      </c>
      <c r="T68" s="9">
        <f t="shared" si="20"/>
        <v>130858.55037800543</v>
      </c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idden="1" outlineLevel="1">
      <c r="C69" s="19" t="s">
        <v>37</v>
      </c>
      <c r="G69" s="172" t="s">
        <v>182</v>
      </c>
      <c r="K69" s="98">
        <f>K68*K71</f>
        <v>4333.244675618067</v>
      </c>
      <c r="L69" s="98">
        <f t="shared" ref="L69:T69" si="21">L71*L56</f>
        <v>4729.9236694269121</v>
      </c>
      <c r="M69" s="98">
        <f t="shared" si="21"/>
        <v>5640.4272046290234</v>
      </c>
      <c r="N69" s="98">
        <f t="shared" si="21"/>
        <v>6085.4967556854872</v>
      </c>
      <c r="O69" s="98">
        <f t="shared" si="21"/>
        <v>6557.5091491288322</v>
      </c>
      <c r="P69" s="98">
        <f t="shared" si="21"/>
        <v>7058.9088338850515</v>
      </c>
      <c r="Q69" s="98">
        <f t="shared" si="21"/>
        <v>7593.0833115256555</v>
      </c>
      <c r="R69" s="98">
        <f t="shared" si="21"/>
        <v>8160.8873642507524</v>
      </c>
      <c r="S69" s="98">
        <f t="shared" si="21"/>
        <v>8767.6696798548292</v>
      </c>
      <c r="T69" s="98">
        <f t="shared" si="21"/>
        <v>9416.3021096290558</v>
      </c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idden="1" outlineLevel="1">
      <c r="C70" s="21" t="s">
        <v>51</v>
      </c>
      <c r="K70" s="9">
        <f>IF(K56&lt;0,0,IF(K58&lt;0,0,IF(H58&lt;0,K71*(K56+H58),K71*K56)))</f>
        <v>4333.244675618067</v>
      </c>
      <c r="L70" s="9">
        <f t="shared" ref="L70:T70" si="22">IF(L56&lt;0,0,IF(L58&lt;0,0,IF(K58&lt;0,L71*(L56+K58),L71*L56)))</f>
        <v>4729.9236694269121</v>
      </c>
      <c r="M70" s="9">
        <f t="shared" si="22"/>
        <v>5640.4272046290234</v>
      </c>
      <c r="N70" s="9">
        <f t="shared" si="22"/>
        <v>6085.4967556854872</v>
      </c>
      <c r="O70" s="9">
        <f t="shared" si="22"/>
        <v>6557.5091491288322</v>
      </c>
      <c r="P70" s="9">
        <f t="shared" si="22"/>
        <v>7058.9088338850515</v>
      </c>
      <c r="Q70" s="9">
        <f t="shared" si="22"/>
        <v>7593.0833115256555</v>
      </c>
      <c r="R70" s="9">
        <f t="shared" si="22"/>
        <v>8160.8873642507524</v>
      </c>
      <c r="S70" s="9">
        <f t="shared" si="22"/>
        <v>8767.6696798548292</v>
      </c>
      <c r="T70" s="9">
        <f t="shared" si="22"/>
        <v>9416.3021096290558</v>
      </c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s="8" customFormat="1" hidden="1" outlineLevel="1">
      <c r="A71" s="22"/>
      <c r="B71" s="22"/>
      <c r="C71" s="23"/>
      <c r="D71" s="41" t="s">
        <v>98</v>
      </c>
      <c r="E71" s="22"/>
      <c r="F71" s="22"/>
      <c r="K71" s="10">
        <v>0.35</v>
      </c>
      <c r="L71" s="10">
        <f t="shared" ref="L71:T71" si="23">+K71</f>
        <v>0.35</v>
      </c>
      <c r="M71" s="10">
        <f t="shared" si="23"/>
        <v>0.35</v>
      </c>
      <c r="N71" s="10">
        <f t="shared" si="23"/>
        <v>0.35</v>
      </c>
      <c r="O71" s="10">
        <f t="shared" si="23"/>
        <v>0.35</v>
      </c>
      <c r="P71" s="10">
        <f t="shared" si="23"/>
        <v>0.35</v>
      </c>
      <c r="Q71" s="10">
        <f t="shared" si="23"/>
        <v>0.35</v>
      </c>
      <c r="R71" s="10">
        <f t="shared" si="23"/>
        <v>0.35</v>
      </c>
      <c r="S71" s="10">
        <f t="shared" si="23"/>
        <v>0.35</v>
      </c>
      <c r="T71" s="10">
        <f t="shared" si="23"/>
        <v>0.35</v>
      </c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hidden="1" outlineLevel="1">
      <c r="C72" s="21" t="s">
        <v>52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2</v>
      </c>
      <c r="R72" s="9">
        <v>3</v>
      </c>
      <c r="S72" s="9">
        <v>4</v>
      </c>
      <c r="T72" s="9">
        <v>5</v>
      </c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idden="1" outlineLevel="1">
      <c r="C73" s="19" t="s">
        <v>28</v>
      </c>
      <c r="K73" s="9">
        <f t="shared" ref="K73:T73" si="24">K72+K70</f>
        <v>4333.244675618067</v>
      </c>
      <c r="L73" s="9">
        <f t="shared" si="24"/>
        <v>4729.9236694269121</v>
      </c>
      <c r="M73" s="9">
        <f t="shared" si="24"/>
        <v>5640.4272046290234</v>
      </c>
      <c r="N73" s="9">
        <f t="shared" si="24"/>
        <v>6085.4967556854872</v>
      </c>
      <c r="O73" s="9">
        <f t="shared" si="24"/>
        <v>6557.5091491288322</v>
      </c>
      <c r="P73" s="9">
        <f t="shared" si="24"/>
        <v>7059.9088338850515</v>
      </c>
      <c r="Q73" s="9">
        <f t="shared" si="24"/>
        <v>7595.0833115256555</v>
      </c>
      <c r="R73" s="9">
        <f t="shared" si="24"/>
        <v>8163.8873642507524</v>
      </c>
      <c r="S73" s="9">
        <f t="shared" si="24"/>
        <v>8771.6696798548292</v>
      </c>
      <c r="T73" s="9">
        <f t="shared" si="24"/>
        <v>9421.3021096290558</v>
      </c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idden="1" outlineLevel="1">
      <c r="B74" s="35"/>
      <c r="C74" s="33" t="s">
        <v>53</v>
      </c>
      <c r="D74" s="34"/>
      <c r="E74" s="35"/>
      <c r="F74" s="35"/>
      <c r="G74" s="35"/>
      <c r="H74" s="35"/>
      <c r="I74" s="35"/>
      <c r="J74" s="35"/>
      <c r="K74" s="36">
        <f t="shared" ref="K74:T74" si="25">K68-K73</f>
        <v>8047.45439757641</v>
      </c>
      <c r="L74" s="36">
        <f t="shared" si="25"/>
        <v>16429.225635204712</v>
      </c>
      <c r="M74" s="36">
        <f t="shared" si="25"/>
        <v>26465.0975316404</v>
      </c>
      <c r="N74" s="36">
        <f t="shared" si="25"/>
        <v>37242.980408912183</v>
      </c>
      <c r="O74" s="36">
        <f t="shared" si="25"/>
        <v>48856.129844266368</v>
      </c>
      <c r="P74" s="36">
        <f t="shared" si="25"/>
        <v>61355.62040049093</v>
      </c>
      <c r="Q74" s="36">
        <f t="shared" si="25"/>
        <v>74799.640730177824</v>
      </c>
      <c r="R74" s="36">
        <f t="shared" si="25"/>
        <v>89247.602384858968</v>
      </c>
      <c r="S74" s="36">
        <f t="shared" si="25"/>
        <v>104768.77082076608</v>
      </c>
      <c r="T74" s="36">
        <f t="shared" si="25"/>
        <v>121437.24826837637</v>
      </c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idden="1" outlineLevel="1">
      <c r="C75" s="21" t="s">
        <v>54</v>
      </c>
      <c r="K75" s="9">
        <f t="shared" ref="K75:T75" si="26">IF(K56&gt;0,K76*(K56-K73),0)</f>
        <v>402.37271987882053</v>
      </c>
      <c r="L75" s="9">
        <f t="shared" si="26"/>
        <v>439.2071978753562</v>
      </c>
      <c r="M75" s="9">
        <f t="shared" si="26"/>
        <v>523.75395471555225</v>
      </c>
      <c r="N75" s="9">
        <f t="shared" si="26"/>
        <v>565.08184159936684</v>
      </c>
      <c r="O75" s="9">
        <f t="shared" si="26"/>
        <v>608.91156384767726</v>
      </c>
      <c r="P75" s="9">
        <f t="shared" si="26"/>
        <v>655.42010600361198</v>
      </c>
      <c r="Q75" s="9">
        <f t="shared" si="26"/>
        <v>704.97202178452528</v>
      </c>
      <c r="R75" s="9">
        <f t="shared" si="26"/>
        <v>757.64668382328421</v>
      </c>
      <c r="S75" s="9">
        <f t="shared" si="26"/>
        <v>813.94075598652</v>
      </c>
      <c r="T75" s="9">
        <f t="shared" si="26"/>
        <v>874.12091017984096</v>
      </c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s="8" customFormat="1" hidden="1" outlineLevel="1">
      <c r="A76" s="22"/>
      <c r="B76" s="22"/>
      <c r="C76" s="23"/>
      <c r="D76" s="41" t="s">
        <v>99</v>
      </c>
      <c r="E76" s="22"/>
      <c r="F76" s="22"/>
      <c r="K76" s="10">
        <v>0.05</v>
      </c>
      <c r="L76" s="10">
        <v>0.05</v>
      </c>
      <c r="M76" s="10">
        <v>0.05</v>
      </c>
      <c r="N76" s="10">
        <v>0.05</v>
      </c>
      <c r="O76" s="10">
        <v>0.05</v>
      </c>
      <c r="P76" s="10">
        <f>O76</f>
        <v>0.05</v>
      </c>
      <c r="Q76" s="10">
        <f>P76</f>
        <v>0.05</v>
      </c>
      <c r="R76" s="10">
        <f>Q76</f>
        <v>0.05</v>
      </c>
      <c r="S76" s="10">
        <f>R76</f>
        <v>0.05</v>
      </c>
      <c r="T76" s="10">
        <f>S76</f>
        <v>0.05</v>
      </c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hidden="1" outlineLevel="1">
      <c r="C77" s="21" t="s">
        <v>55</v>
      </c>
      <c r="K77" s="9">
        <f t="shared" ref="K77:T77" si="27">K78*K74</f>
        <v>0</v>
      </c>
      <c r="L77" s="9">
        <f t="shared" si="27"/>
        <v>0</v>
      </c>
      <c r="M77" s="9">
        <f t="shared" si="27"/>
        <v>0</v>
      </c>
      <c r="N77" s="9">
        <f t="shared" si="27"/>
        <v>0</v>
      </c>
      <c r="O77" s="9">
        <f t="shared" si="27"/>
        <v>0</v>
      </c>
      <c r="P77" s="9">
        <f t="shared" si="27"/>
        <v>0</v>
      </c>
      <c r="Q77" s="9">
        <f t="shared" si="27"/>
        <v>0</v>
      </c>
      <c r="R77" s="9">
        <f t="shared" si="27"/>
        <v>0</v>
      </c>
      <c r="S77" s="9">
        <f t="shared" si="27"/>
        <v>0</v>
      </c>
      <c r="T77" s="9">
        <f t="shared" si="27"/>
        <v>0</v>
      </c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s="8" customFormat="1" hidden="1" outlineLevel="1">
      <c r="A78" s="22"/>
      <c r="B78" s="22"/>
      <c r="C78" s="23"/>
      <c r="D78" s="41" t="s">
        <v>100</v>
      </c>
      <c r="E78" s="22"/>
      <c r="F78" s="22"/>
      <c r="K78" s="61">
        <v>0</v>
      </c>
      <c r="L78" s="10">
        <f t="shared" ref="L78:T78" si="28">K78</f>
        <v>0</v>
      </c>
      <c r="M78" s="10">
        <f t="shared" si="28"/>
        <v>0</v>
      </c>
      <c r="N78" s="10">
        <f t="shared" si="28"/>
        <v>0</v>
      </c>
      <c r="O78" s="10">
        <f t="shared" si="28"/>
        <v>0</v>
      </c>
      <c r="P78" s="10">
        <f t="shared" si="28"/>
        <v>0</v>
      </c>
      <c r="Q78" s="10">
        <f t="shared" si="28"/>
        <v>0</v>
      </c>
      <c r="R78" s="10">
        <f t="shared" si="28"/>
        <v>0</v>
      </c>
      <c r="S78" s="10">
        <f t="shared" si="28"/>
        <v>0</v>
      </c>
      <c r="T78" s="10">
        <f t="shared" si="28"/>
        <v>0</v>
      </c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hidden="1" outlineLevel="1">
      <c r="C79" s="21" t="s">
        <v>56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idden="1" outlineLevel="1">
      <c r="C80" s="21" t="s">
        <v>57</v>
      </c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2:30" hidden="1" outlineLevel="1">
      <c r="C81" s="21" t="s">
        <v>58</v>
      </c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2:30" hidden="1" outlineLevel="1">
      <c r="C82" s="21" t="s">
        <v>59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2:30" hidden="1" outlineLevel="1">
      <c r="C83" s="21" t="s">
        <v>60</v>
      </c>
      <c r="K83" s="9">
        <f>K84+K85+K86</f>
        <v>0</v>
      </c>
      <c r="L83" s="9">
        <f t="shared" ref="L83:T83" si="29">L84+L85+L86</f>
        <v>0</v>
      </c>
      <c r="M83" s="9">
        <f t="shared" si="29"/>
        <v>0</v>
      </c>
      <c r="N83" s="9">
        <f t="shared" si="29"/>
        <v>0</v>
      </c>
      <c r="O83" s="9">
        <f t="shared" si="29"/>
        <v>0</v>
      </c>
      <c r="P83" s="9">
        <f t="shared" si="29"/>
        <v>0</v>
      </c>
      <c r="Q83" s="9">
        <f t="shared" si="29"/>
        <v>0</v>
      </c>
      <c r="R83" s="9">
        <f t="shared" si="29"/>
        <v>0</v>
      </c>
      <c r="S83" s="9">
        <f t="shared" si="29"/>
        <v>0</v>
      </c>
      <c r="T83" s="9">
        <f t="shared" si="29"/>
        <v>0</v>
      </c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2:30" hidden="1" outlineLevel="1">
      <c r="C84" s="21" t="s">
        <v>61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2:30" hidden="1" outlineLevel="1">
      <c r="C85" s="21" t="s">
        <v>62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2:30" hidden="1" outlineLevel="1">
      <c r="C86" s="21" t="s">
        <v>63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2:30" hidden="1" outlineLevel="1">
      <c r="C87" s="21" t="s">
        <v>64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2:30" ht="13.8" hidden="1" outlineLevel="1" thickBot="1">
      <c r="B88" s="42"/>
      <c r="C88" s="43" t="s">
        <v>65</v>
      </c>
      <c r="D88" s="44"/>
      <c r="E88" s="42"/>
      <c r="F88" s="42"/>
      <c r="G88" s="42"/>
      <c r="H88" s="42"/>
      <c r="I88" s="42"/>
      <c r="J88" s="42"/>
      <c r="K88" s="45">
        <f>K74-K87-K83-K82-K81-K80-K79-K77-K75</f>
        <v>7645.0816776975898</v>
      </c>
      <c r="L88" s="45">
        <f>L74-L87-L83-L82-L81-L80-L79-L77-L75</f>
        <v>15990.018437329356</v>
      </c>
      <c r="M88" s="45">
        <f t="shared" ref="M88:T88" si="30">M74-M87-M83-M82-M81-M80-M79-M77-M75</f>
        <v>25941.343576924846</v>
      </c>
      <c r="N88" s="45">
        <f t="shared" si="30"/>
        <v>36677.898567312819</v>
      </c>
      <c r="O88" s="45">
        <f t="shared" si="30"/>
        <v>48247.218280418689</v>
      </c>
      <c r="P88" s="45">
        <f t="shared" si="30"/>
        <v>60700.200294487317</v>
      </c>
      <c r="Q88" s="45">
        <f t="shared" si="30"/>
        <v>74094.668708393292</v>
      </c>
      <c r="R88" s="45">
        <f t="shared" si="30"/>
        <v>88489.95570103568</v>
      </c>
      <c r="S88" s="45">
        <f t="shared" si="30"/>
        <v>103954.83006477955</v>
      </c>
      <c r="T88" s="45">
        <f t="shared" si="30"/>
        <v>120563.12735819652</v>
      </c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2:30" hidden="1" collapsed="1">
      <c r="G89" s="3" t="s">
        <v>84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2:30" hidden="1">
      <c r="G90" s="172" t="s">
        <v>170</v>
      </c>
      <c r="K90" s="9">
        <f>K56-K32+K37</f>
        <v>21994</v>
      </c>
      <c r="L90" s="9">
        <f>L56-L32+L37</f>
        <v>22494</v>
      </c>
      <c r="M90" s="9">
        <f>M56-M32+M37</f>
        <v>24400</v>
      </c>
      <c r="N90" s="9">
        <f>N56-N32+N37</f>
        <v>24908.035626870129</v>
      </c>
      <c r="O90" s="9">
        <f>O56-O32+O37</f>
        <v>25418.218820554524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2:30" hidden="1">
      <c r="G91" s="172" t="s">
        <v>171</v>
      </c>
      <c r="K91" s="98">
        <f>K90-'cash flow statement'!C6</f>
        <v>0</v>
      </c>
      <c r="L91" s="98">
        <f>L90-'cash flow statement'!D6</f>
        <v>0</v>
      </c>
      <c r="M91" s="98">
        <f>M90-'cash flow statement'!E6</f>
        <v>0</v>
      </c>
      <c r="N91" s="98">
        <f>N90-'cash flow statement'!F6</f>
        <v>-1</v>
      </c>
      <c r="O91" s="98">
        <f>O90-'cash flow statement'!G6</f>
        <v>-2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2:30" hidden="1">
      <c r="K92" s="30">
        <f>+K74/K10</f>
        <v>0.1040838935496257</v>
      </c>
      <c r="L92" s="30">
        <f>+L74/L10</f>
        <v>0.20631954835118313</v>
      </c>
      <c r="M92" s="30">
        <f>+M74/M10</f>
        <v>0.30213712889888916</v>
      </c>
      <c r="N92" s="30">
        <f>+N74/N10</f>
        <v>0.41481185748958316</v>
      </c>
      <c r="O92" s="30">
        <f>+O74/O10</f>
        <v>0.5308868029184366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2:30" ht="13.8" hidden="1">
      <c r="G93" s="3" t="s">
        <v>120</v>
      </c>
      <c r="K93" s="17">
        <f>K56-K70</f>
        <v>8047.45439757641</v>
      </c>
      <c r="L93" s="17">
        <f>L56-L70</f>
        <v>8784.1439575071236</v>
      </c>
      <c r="M93" s="17">
        <f>M56-M70</f>
        <v>10475.079094311044</v>
      </c>
      <c r="N93" s="17">
        <f>N56-N70</f>
        <v>11301.636831987336</v>
      </c>
      <c r="O93" s="17">
        <f>O56-O70</f>
        <v>12178.231276953546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2:30" hidden="1">
      <c r="G94" s="3" t="s">
        <v>121</v>
      </c>
      <c r="K94" s="30">
        <f>K93/K10</f>
        <v>0.1040838935496257</v>
      </c>
      <c r="L94" s="30">
        <f>L93/L10</f>
        <v>0.11031199243384558</v>
      </c>
      <c r="M94" s="30">
        <f>M93/M10</f>
        <v>0.11958808459935205</v>
      </c>
      <c r="N94" s="30">
        <f>N93/N10</f>
        <v>0.12587749195892797</v>
      </c>
      <c r="O94" s="30">
        <f>O93/O10</f>
        <v>0.1323326732680592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2:30"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2:30"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1:30"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1:30"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1:30"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1:30"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1:30"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1:30"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1:30"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1:30"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1:30"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1:30"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1:30"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1:30"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1:30"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1:30"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1:30"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1:30"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1:30"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1:30"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1:30"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1:30"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1:30"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1:30"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1:30"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1:30"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1:30"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1:30"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1:30"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1:30"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1:30"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1:30"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1:30"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1:30"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1:30"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1:30"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1:30"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1:30"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1:30"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1:30"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1:30"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1:30"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1:30"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1:30"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1:30"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1:30"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1:30"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1:30"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1:30"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1:30"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1:30"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1:30"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1:30"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1:30"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1:30"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1:30"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1:30"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1:30"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1:30"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1:30"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1:30"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1:30"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1:30"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1:30"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1:30"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</sheetData>
  <mergeCells count="1">
    <mergeCell ref="B4:T4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61"/>
  <sheetViews>
    <sheetView zoomScaleNormal="100" zoomScaleSheetLayoutView="75" workbookViewId="0">
      <selection activeCell="I30" sqref="I30:J30"/>
    </sheetView>
  </sheetViews>
  <sheetFormatPr defaultColWidth="9.109375" defaultRowHeight="13.2" outlineLevelRow="1"/>
  <cols>
    <col min="1" max="1" width="9.109375" style="79"/>
    <col min="2" max="2" width="3.6640625" style="79" customWidth="1"/>
    <col min="3" max="3" width="44.6640625" style="79" customWidth="1"/>
    <col min="4" max="5" width="12.6640625" style="79" customWidth="1"/>
    <col min="6" max="7" width="14.44140625" style="79" customWidth="1"/>
    <col min="8" max="8" width="9.33203125" style="79" bestFit="1" customWidth="1"/>
    <col min="9" max="9" width="10" style="79" customWidth="1"/>
    <col min="10" max="10" width="11" style="79" customWidth="1"/>
    <col min="11" max="11" width="11.109375" style="79" customWidth="1" collapsed="1"/>
    <col min="12" max="12" width="10" style="79" customWidth="1"/>
    <col min="13" max="13" width="9.33203125" style="79" bestFit="1" customWidth="1"/>
    <col min="14" max="16384" width="9.109375" style="79"/>
  </cols>
  <sheetData>
    <row r="1" spans="3:13">
      <c r="C1" s="95"/>
      <c r="D1" s="94"/>
      <c r="E1" s="86"/>
      <c r="G1" s="97"/>
    </row>
    <row r="2" spans="3:13" ht="13.8" thickBot="1">
      <c r="C2" s="95"/>
      <c r="D2" s="94"/>
      <c r="E2" s="86"/>
      <c r="G2" s="96"/>
    </row>
    <row r="3" spans="3:13" ht="15.75" customHeight="1" thickTop="1">
      <c r="C3" s="466" t="s">
        <v>195</v>
      </c>
      <c r="D3" s="467"/>
      <c r="E3" s="467"/>
      <c r="F3" s="467"/>
      <c r="G3" s="467"/>
      <c r="H3" s="467"/>
      <c r="I3" s="467"/>
      <c r="J3" s="467"/>
      <c r="K3" s="467"/>
      <c r="L3" s="467"/>
      <c r="M3" s="468"/>
    </row>
    <row r="4" spans="3:13" ht="13.5" customHeight="1">
      <c r="C4" s="469" t="s">
        <v>9</v>
      </c>
      <c r="D4" s="470"/>
      <c r="E4" s="470"/>
      <c r="F4" s="470"/>
      <c r="G4" s="470"/>
      <c r="H4" s="470"/>
      <c r="I4" s="470"/>
      <c r="J4" s="470"/>
      <c r="K4" s="470"/>
      <c r="L4" s="470"/>
      <c r="M4" s="471"/>
    </row>
    <row r="5" spans="3:13" s="80" customFormat="1">
      <c r="C5" s="323"/>
      <c r="D5" s="391">
        <v>1</v>
      </c>
      <c r="E5" s="391">
        <v>2</v>
      </c>
      <c r="F5" s="391">
        <v>3</v>
      </c>
      <c r="G5" s="391">
        <v>4</v>
      </c>
      <c r="H5" s="391">
        <v>5</v>
      </c>
      <c r="I5" s="391"/>
      <c r="J5" s="391"/>
      <c r="K5" s="54"/>
      <c r="L5" s="54"/>
      <c r="M5" s="392"/>
    </row>
    <row r="6" spans="3:13" s="80" customFormat="1" ht="25.5" customHeight="1">
      <c r="C6" s="307"/>
      <c r="D6" s="106" t="s">
        <v>87</v>
      </c>
      <c r="E6" s="106" t="s">
        <v>88</v>
      </c>
      <c r="F6" s="106" t="s">
        <v>89</v>
      </c>
      <c r="G6" s="106" t="s">
        <v>90</v>
      </c>
      <c r="H6" s="106" t="s">
        <v>91</v>
      </c>
      <c r="I6" s="106" t="s">
        <v>200</v>
      </c>
      <c r="J6" s="106" t="s">
        <v>201</v>
      </c>
      <c r="K6" s="106" t="s">
        <v>202</v>
      </c>
      <c r="L6" s="106" t="s">
        <v>203</v>
      </c>
      <c r="M6" s="107" t="s">
        <v>204</v>
      </c>
    </row>
    <row r="7" spans="3:13" s="52" customFormat="1" hidden="1" outlineLevel="1">
      <c r="C7" s="307"/>
      <c r="D7" s="306" t="s">
        <v>87</v>
      </c>
      <c r="E7" s="306" t="s">
        <v>88</v>
      </c>
      <c r="F7" s="306" t="s">
        <v>89</v>
      </c>
      <c r="G7" s="306" t="s">
        <v>90</v>
      </c>
      <c r="H7" s="306" t="s">
        <v>91</v>
      </c>
      <c r="I7" s="306" t="s">
        <v>200</v>
      </c>
      <c r="J7" s="306" t="s">
        <v>201</v>
      </c>
      <c r="K7" s="306" t="s">
        <v>202</v>
      </c>
      <c r="L7" s="306" t="s">
        <v>203</v>
      </c>
      <c r="M7" s="308" t="s">
        <v>204</v>
      </c>
    </row>
    <row r="8" spans="3:13" collapsed="1">
      <c r="C8" s="309" t="s">
        <v>239</v>
      </c>
      <c r="D8" s="230" t="s">
        <v>251</v>
      </c>
      <c r="E8" s="230" t="s">
        <v>243</v>
      </c>
      <c r="F8" s="230" t="s">
        <v>244</v>
      </c>
      <c r="G8" s="230" t="s">
        <v>245</v>
      </c>
      <c r="H8" s="230" t="s">
        <v>246</v>
      </c>
      <c r="I8" s="230" t="s">
        <v>247</v>
      </c>
      <c r="J8" s="230" t="s">
        <v>248</v>
      </c>
      <c r="K8" s="230" t="s">
        <v>249</v>
      </c>
      <c r="L8" s="230" t="s">
        <v>250</v>
      </c>
      <c r="M8" s="230" t="s">
        <v>270</v>
      </c>
    </row>
    <row r="9" spans="3:13" s="83" customFormat="1">
      <c r="C9" s="311" t="s">
        <v>219</v>
      </c>
      <c r="D9" s="291">
        <v>51452</v>
      </c>
      <c r="E9" s="312">
        <v>52990</v>
      </c>
      <c r="F9" s="312">
        <v>58289</v>
      </c>
      <c r="G9" s="312">
        <f>F9+G11*F9</f>
        <v>59746.224999999999</v>
      </c>
      <c r="H9" s="312">
        <f t="shared" ref="H9:M9" si="0">G9+H11*G9</f>
        <v>61239.880624999998</v>
      </c>
      <c r="I9" s="312">
        <f t="shared" si="0"/>
        <v>62770.877640624996</v>
      </c>
      <c r="J9" s="312">
        <f t="shared" si="0"/>
        <v>64340.149581640624</v>
      </c>
      <c r="K9" s="312">
        <f t="shared" si="0"/>
        <v>65948.653321181642</v>
      </c>
      <c r="L9" s="312">
        <f t="shared" si="0"/>
        <v>67597.369654211187</v>
      </c>
      <c r="M9" s="313">
        <f t="shared" si="0"/>
        <v>69287.303895566467</v>
      </c>
    </row>
    <row r="10" spans="3:13" s="83" customFormat="1">
      <c r="C10" s="314" t="s">
        <v>205</v>
      </c>
      <c r="D10" s="315">
        <f>D9/D22</f>
        <v>0.6654681376670073</v>
      </c>
      <c r="E10" s="315">
        <f>E9/E22</f>
        <v>0.66545271882456358</v>
      </c>
      <c r="F10" s="315">
        <f>F9/F22</f>
        <v>0.66545271882456358</v>
      </c>
      <c r="G10" s="315">
        <f t="shared" ref="G10:M10" si="1">G9/G22</f>
        <v>0.66545271882456358</v>
      </c>
      <c r="H10" s="315">
        <f t="shared" si="1"/>
        <v>0.66545271882456358</v>
      </c>
      <c r="I10" s="315">
        <f t="shared" si="1"/>
        <v>0.66545271882456358</v>
      </c>
      <c r="J10" s="315">
        <f t="shared" si="1"/>
        <v>0.66545271882456369</v>
      </c>
      <c r="K10" s="315">
        <f t="shared" si="1"/>
        <v>0.66545271882456358</v>
      </c>
      <c r="L10" s="315">
        <f t="shared" si="1"/>
        <v>0.66545271882456358</v>
      </c>
      <c r="M10" s="316">
        <f t="shared" si="1"/>
        <v>0.66545271882456358</v>
      </c>
    </row>
    <row r="11" spans="3:13" s="83" customFormat="1">
      <c r="C11" s="314" t="s">
        <v>223</v>
      </c>
      <c r="D11" s="315"/>
      <c r="E11" s="315">
        <f>(E9-D9)/D9</f>
        <v>2.9891938117079998E-2</v>
      </c>
      <c r="F11" s="315">
        <f>(F9-E9)/E9</f>
        <v>0.1</v>
      </c>
      <c r="G11" s="315">
        <v>2.5000000000000001E-2</v>
      </c>
      <c r="H11" s="315">
        <f t="shared" ref="H11:M11" si="2">G11</f>
        <v>2.5000000000000001E-2</v>
      </c>
      <c r="I11" s="315">
        <f t="shared" si="2"/>
        <v>2.5000000000000001E-2</v>
      </c>
      <c r="J11" s="315">
        <f t="shared" si="2"/>
        <v>2.5000000000000001E-2</v>
      </c>
      <c r="K11" s="315">
        <f t="shared" si="2"/>
        <v>2.5000000000000001E-2</v>
      </c>
      <c r="L11" s="315">
        <f t="shared" si="2"/>
        <v>2.5000000000000001E-2</v>
      </c>
      <c r="M11" s="316">
        <f t="shared" si="2"/>
        <v>2.5000000000000001E-2</v>
      </c>
    </row>
    <row r="12" spans="3:13">
      <c r="C12" s="317" t="s">
        <v>224</v>
      </c>
      <c r="D12" s="318">
        <f>D9</f>
        <v>51452</v>
      </c>
      <c r="E12" s="318">
        <f t="shared" ref="E12:M12" si="3">E9</f>
        <v>52990</v>
      </c>
      <c r="F12" s="318">
        <f t="shared" si="3"/>
        <v>58289</v>
      </c>
      <c r="G12" s="318">
        <f t="shared" si="3"/>
        <v>59746.224999999999</v>
      </c>
      <c r="H12" s="318">
        <f t="shared" si="3"/>
        <v>61239.880624999998</v>
      </c>
      <c r="I12" s="318">
        <f t="shared" si="3"/>
        <v>62770.877640624996</v>
      </c>
      <c r="J12" s="318">
        <f t="shared" si="3"/>
        <v>64340.149581640624</v>
      </c>
      <c r="K12" s="318">
        <f t="shared" si="3"/>
        <v>65948.653321181642</v>
      </c>
      <c r="L12" s="318">
        <f t="shared" si="3"/>
        <v>67597.369654211187</v>
      </c>
      <c r="M12" s="319">
        <f t="shared" si="3"/>
        <v>69287.303895566467</v>
      </c>
    </row>
    <row r="13" spans="3:13">
      <c r="C13" s="320"/>
      <c r="D13" s="287"/>
      <c r="E13" s="321"/>
      <c r="F13" s="321"/>
      <c r="G13" s="321"/>
      <c r="H13" s="321"/>
      <c r="I13" s="289"/>
      <c r="J13" s="289"/>
      <c r="K13" s="289"/>
      <c r="L13" s="289"/>
      <c r="M13" s="322"/>
    </row>
    <row r="14" spans="3:13">
      <c r="C14" s="323"/>
      <c r="D14" s="54"/>
      <c r="E14" s="54"/>
      <c r="F14" s="54"/>
      <c r="G14" s="54"/>
      <c r="H14" s="54"/>
      <c r="I14" s="54"/>
      <c r="J14" s="54"/>
      <c r="K14" s="289"/>
      <c r="L14" s="289"/>
      <c r="M14" s="322"/>
    </row>
    <row r="15" spans="3:13">
      <c r="C15" s="309" t="s">
        <v>10</v>
      </c>
      <c r="D15" s="306" t="s">
        <v>87</v>
      </c>
      <c r="E15" s="306" t="s">
        <v>88</v>
      </c>
      <c r="F15" s="306" t="s">
        <v>89</v>
      </c>
      <c r="G15" s="306" t="s">
        <v>90</v>
      </c>
      <c r="H15" s="306" t="s">
        <v>91</v>
      </c>
      <c r="I15" s="306" t="s">
        <v>200</v>
      </c>
      <c r="J15" s="306" t="s">
        <v>201</v>
      </c>
      <c r="K15" s="306" t="s">
        <v>202</v>
      </c>
      <c r="L15" s="306" t="s">
        <v>203</v>
      </c>
      <c r="M15" s="308" t="s">
        <v>204</v>
      </c>
    </row>
    <row r="16" spans="3:13" outlineLevel="1">
      <c r="C16" s="317"/>
      <c r="D16" s="230" t="s">
        <v>242</v>
      </c>
      <c r="E16" s="230" t="s">
        <v>251</v>
      </c>
      <c r="F16" s="230" t="s">
        <v>243</v>
      </c>
      <c r="G16" s="230" t="s">
        <v>244</v>
      </c>
      <c r="H16" s="230" t="s">
        <v>245</v>
      </c>
      <c r="I16" s="230" t="s">
        <v>246</v>
      </c>
      <c r="J16" s="230" t="s">
        <v>247</v>
      </c>
      <c r="K16" s="230" t="s">
        <v>248</v>
      </c>
      <c r="L16" s="230" t="s">
        <v>249</v>
      </c>
      <c r="M16" s="230" t="s">
        <v>250</v>
      </c>
    </row>
    <row r="17" spans="2:13" s="83" customFormat="1">
      <c r="C17" s="311" t="s">
        <v>238</v>
      </c>
      <c r="D17" s="291">
        <v>25865</v>
      </c>
      <c r="E17" s="291">
        <v>26640</v>
      </c>
      <c r="F17" s="291">
        <v>29304</v>
      </c>
      <c r="G17" s="291">
        <f>F17+G19*F17</f>
        <v>30036.6</v>
      </c>
      <c r="H17" s="291">
        <f t="shared" ref="H17:M17" si="4">G17+H19*G17</f>
        <v>30787.514999999999</v>
      </c>
      <c r="I17" s="291">
        <f t="shared" si="4"/>
        <v>31557.202874999999</v>
      </c>
      <c r="J17" s="291">
        <f t="shared" si="4"/>
        <v>32346.132946874997</v>
      </c>
      <c r="K17" s="291">
        <f t="shared" si="4"/>
        <v>33154.786270546872</v>
      </c>
      <c r="L17" s="291">
        <f t="shared" si="4"/>
        <v>33983.655927310545</v>
      </c>
      <c r="M17" s="324">
        <f t="shared" si="4"/>
        <v>34833.247325493307</v>
      </c>
    </row>
    <row r="18" spans="2:13" s="83" customFormat="1">
      <c r="C18" s="314" t="s">
        <v>205</v>
      </c>
      <c r="D18" s="315">
        <f>D17/D22</f>
        <v>0.33453186233299276</v>
      </c>
      <c r="E18" s="315">
        <f>E17/E22</f>
        <v>0.33454728117543642</v>
      </c>
      <c r="F18" s="315">
        <f>F17/F22</f>
        <v>0.33454728117543642</v>
      </c>
      <c r="G18" s="315">
        <f t="shared" ref="G18:M18" si="5">G17/G22</f>
        <v>0.33454728117543636</v>
      </c>
      <c r="H18" s="315">
        <f t="shared" si="5"/>
        <v>0.33454728117543636</v>
      </c>
      <c r="I18" s="315">
        <f t="shared" si="5"/>
        <v>0.33454728117543636</v>
      </c>
      <c r="J18" s="315">
        <f t="shared" si="5"/>
        <v>0.33454728117543642</v>
      </c>
      <c r="K18" s="315">
        <f t="shared" si="5"/>
        <v>0.33454728117543636</v>
      </c>
      <c r="L18" s="315">
        <f t="shared" si="5"/>
        <v>0.33454728117543636</v>
      </c>
      <c r="M18" s="316">
        <f t="shared" si="5"/>
        <v>0.33454728117543631</v>
      </c>
    </row>
    <row r="19" spans="2:13" s="83" customFormat="1">
      <c r="C19" s="314" t="s">
        <v>223</v>
      </c>
      <c r="D19" s="315"/>
      <c r="E19" s="315">
        <f>(E17-D17)/D17</f>
        <v>2.9963270829306013E-2</v>
      </c>
      <c r="F19" s="315">
        <f>(F17-E17)/E17</f>
        <v>0.1</v>
      </c>
      <c r="G19" s="315">
        <v>2.5000000000000001E-2</v>
      </c>
      <c r="H19" s="315">
        <f t="shared" ref="H19:M19" si="6">G19</f>
        <v>2.5000000000000001E-2</v>
      </c>
      <c r="I19" s="315">
        <f t="shared" si="6"/>
        <v>2.5000000000000001E-2</v>
      </c>
      <c r="J19" s="315">
        <f t="shared" si="6"/>
        <v>2.5000000000000001E-2</v>
      </c>
      <c r="K19" s="315">
        <f t="shared" si="6"/>
        <v>2.5000000000000001E-2</v>
      </c>
      <c r="L19" s="315">
        <f t="shared" si="6"/>
        <v>2.5000000000000001E-2</v>
      </c>
      <c r="M19" s="316">
        <f t="shared" si="6"/>
        <v>2.5000000000000001E-2</v>
      </c>
    </row>
    <row r="20" spans="2:13">
      <c r="C20" s="317" t="s">
        <v>11</v>
      </c>
      <c r="D20" s="318">
        <f>D17</f>
        <v>25865</v>
      </c>
      <c r="E20" s="318">
        <f t="shared" ref="E20:M20" si="7">E17</f>
        <v>26640</v>
      </c>
      <c r="F20" s="318">
        <f t="shared" si="7"/>
        <v>29304</v>
      </c>
      <c r="G20" s="318">
        <f t="shared" si="7"/>
        <v>30036.6</v>
      </c>
      <c r="H20" s="318">
        <f t="shared" si="7"/>
        <v>30787.514999999999</v>
      </c>
      <c r="I20" s="318">
        <f t="shared" si="7"/>
        <v>31557.202874999999</v>
      </c>
      <c r="J20" s="318">
        <f t="shared" si="7"/>
        <v>32346.132946874997</v>
      </c>
      <c r="K20" s="318">
        <f t="shared" si="7"/>
        <v>33154.786270546872</v>
      </c>
      <c r="L20" s="318">
        <f t="shared" si="7"/>
        <v>33983.655927310545</v>
      </c>
      <c r="M20" s="319">
        <f t="shared" si="7"/>
        <v>34833.247325493307</v>
      </c>
    </row>
    <row r="21" spans="2:13">
      <c r="C21" s="320"/>
      <c r="D21" s="325"/>
      <c r="E21" s="287"/>
      <c r="F21" s="287"/>
      <c r="G21" s="287"/>
      <c r="H21" s="289"/>
      <c r="I21" s="289"/>
      <c r="J21" s="289"/>
      <c r="K21" s="289"/>
      <c r="L21" s="289"/>
      <c r="M21" s="322"/>
    </row>
    <row r="22" spans="2:13">
      <c r="C22" s="317" t="s">
        <v>12</v>
      </c>
      <c r="D22" s="318">
        <f>D12+D20</f>
        <v>77317</v>
      </c>
      <c r="E22" s="318">
        <f t="shared" ref="E22:M22" si="8">E12+E20</f>
        <v>79630</v>
      </c>
      <c r="F22" s="318">
        <f t="shared" si="8"/>
        <v>87593</v>
      </c>
      <c r="G22" s="318">
        <f t="shared" si="8"/>
        <v>89782.824999999997</v>
      </c>
      <c r="H22" s="318">
        <f t="shared" si="8"/>
        <v>92027.395625000005</v>
      </c>
      <c r="I22" s="318">
        <f t="shared" si="8"/>
        <v>94328.080515624999</v>
      </c>
      <c r="J22" s="318">
        <f t="shared" si="8"/>
        <v>96686.282528515614</v>
      </c>
      <c r="K22" s="318">
        <f t="shared" si="8"/>
        <v>99103.439591728515</v>
      </c>
      <c r="L22" s="318">
        <f t="shared" si="8"/>
        <v>101581.02558152174</v>
      </c>
      <c r="M22" s="319">
        <f t="shared" si="8"/>
        <v>104120.55122105978</v>
      </c>
    </row>
    <row r="23" spans="2:13" ht="13.8" thickBot="1">
      <c r="B23" s="87"/>
      <c r="C23" s="326" t="s">
        <v>92</v>
      </c>
      <c r="D23" s="327"/>
      <c r="E23" s="328">
        <f>+E22/D22-1</f>
        <v>2.9915801182146318E-2</v>
      </c>
      <c r="F23" s="328">
        <f>+F22/E22-1</f>
        <v>0.10000000000000009</v>
      </c>
      <c r="G23" s="328">
        <f t="shared" ref="G23:M23" si="9">+G22/F22-1</f>
        <v>2.4999999999999911E-2</v>
      </c>
      <c r="H23" s="328">
        <f t="shared" si="9"/>
        <v>2.5000000000000133E-2</v>
      </c>
      <c r="I23" s="328">
        <f t="shared" si="9"/>
        <v>2.4999999999999911E-2</v>
      </c>
      <c r="J23" s="328">
        <f t="shared" si="9"/>
        <v>2.4999999999999911E-2</v>
      </c>
      <c r="K23" s="328">
        <f t="shared" si="9"/>
        <v>2.5000000000000133E-2</v>
      </c>
      <c r="L23" s="328">
        <f t="shared" si="9"/>
        <v>2.5000000000000133E-2</v>
      </c>
      <c r="M23" s="329">
        <f t="shared" si="9"/>
        <v>2.4999999999999911E-2</v>
      </c>
    </row>
    <row r="24" spans="2:13" ht="13.8" thickTop="1">
      <c r="D24" s="81">
        <v>1</v>
      </c>
      <c r="E24" s="81">
        <v>2</v>
      </c>
      <c r="F24" s="81">
        <v>3</v>
      </c>
      <c r="G24" s="81">
        <v>4</v>
      </c>
      <c r="H24" s="81">
        <v>5</v>
      </c>
      <c r="I24" s="81"/>
      <c r="J24" s="81"/>
    </row>
    <row r="25" spans="2:13" hidden="1">
      <c r="B25" s="84" t="s">
        <v>110</v>
      </c>
      <c r="C25" s="84"/>
      <c r="D25" s="82" t="s">
        <v>87</v>
      </c>
      <c r="E25" s="82" t="s">
        <v>88</v>
      </c>
      <c r="F25" s="82" t="s">
        <v>89</v>
      </c>
      <c r="G25" s="82" t="s">
        <v>90</v>
      </c>
      <c r="H25" s="82" t="s">
        <v>91</v>
      </c>
      <c r="I25" s="82"/>
      <c r="J25" s="82"/>
    </row>
    <row r="26" spans="2:13" hidden="1">
      <c r="C26" s="79" t="s">
        <v>111</v>
      </c>
      <c r="D26" s="88"/>
      <c r="E26" s="88">
        <v>3.5000000000000003E-2</v>
      </c>
      <c r="F26" s="88">
        <f t="shared" ref="F26:H27" si="10">E26</f>
        <v>3.5000000000000003E-2</v>
      </c>
      <c r="G26" s="88">
        <f t="shared" si="10"/>
        <v>3.5000000000000003E-2</v>
      </c>
      <c r="H26" s="88">
        <f t="shared" si="10"/>
        <v>3.5000000000000003E-2</v>
      </c>
      <c r="I26" s="88"/>
      <c r="J26" s="88"/>
    </row>
    <row r="27" spans="2:13" hidden="1">
      <c r="C27" s="79" t="s">
        <v>112</v>
      </c>
      <c r="D27" s="88"/>
      <c r="E27" s="88">
        <v>1.4999999999999999E-2</v>
      </c>
      <c r="F27" s="88">
        <f t="shared" si="10"/>
        <v>1.4999999999999999E-2</v>
      </c>
      <c r="G27" s="88">
        <f t="shared" si="10"/>
        <v>1.4999999999999999E-2</v>
      </c>
      <c r="H27" s="88">
        <f t="shared" si="10"/>
        <v>1.4999999999999999E-2</v>
      </c>
      <c r="I27" s="88"/>
      <c r="J27" s="88"/>
    </row>
    <row r="28" spans="2:13" hidden="1">
      <c r="B28" s="84"/>
      <c r="C28" s="84" t="s">
        <v>113</v>
      </c>
      <c r="D28" s="89"/>
      <c r="E28" s="89">
        <f>SUM(E26:E27)</f>
        <v>0.05</v>
      </c>
      <c r="F28" s="89">
        <f>SUM(F26:F27)</f>
        <v>0.05</v>
      </c>
      <c r="G28" s="89">
        <f>SUM(G26:G27)</f>
        <v>0.05</v>
      </c>
      <c r="H28" s="89">
        <f>SUM(H26:H27)</f>
        <v>0.05</v>
      </c>
      <c r="I28" s="89"/>
      <c r="J28" s="89"/>
    </row>
    <row r="29" spans="2:13">
      <c r="D29" s="86"/>
      <c r="E29" s="86"/>
      <c r="F29" s="86"/>
      <c r="G29" s="86"/>
    </row>
    <row r="30" spans="2:13">
      <c r="C30" s="90"/>
      <c r="D30" s="86"/>
      <c r="E30" s="86"/>
      <c r="F30" s="86"/>
      <c r="G30" s="86"/>
      <c r="H30" s="86"/>
      <c r="I30" s="86"/>
      <c r="J30" s="86"/>
    </row>
    <row r="31" spans="2:13">
      <c r="C31" s="91"/>
      <c r="D31" s="92"/>
      <c r="E31" s="92"/>
      <c r="F31" s="86"/>
      <c r="G31" s="86"/>
    </row>
    <row r="32" spans="2:13">
      <c r="C32" s="90"/>
      <c r="D32" s="86"/>
      <c r="E32" s="88"/>
      <c r="F32" s="86"/>
      <c r="G32" s="86"/>
    </row>
    <row r="33" spans="3:10">
      <c r="C33" s="90"/>
      <c r="D33" s="86"/>
      <c r="E33" s="88"/>
      <c r="F33" s="86"/>
      <c r="G33" s="86"/>
    </row>
    <row r="34" spans="3:10">
      <c r="C34" s="90"/>
      <c r="D34" s="86"/>
      <c r="E34" s="86"/>
      <c r="F34" s="86"/>
      <c r="G34" s="86"/>
      <c r="H34" s="86"/>
      <c r="I34" s="86"/>
      <c r="J34" s="86"/>
    </row>
    <row r="35" spans="3:10">
      <c r="C35" s="90"/>
      <c r="D35" s="86"/>
      <c r="E35" s="86"/>
      <c r="F35" s="86"/>
      <c r="G35" s="86"/>
      <c r="H35" s="86"/>
    </row>
    <row r="36" spans="3:10">
      <c r="C36" s="93"/>
      <c r="D36" s="94"/>
      <c r="E36" s="86"/>
      <c r="F36" s="86"/>
      <c r="G36" s="86"/>
    </row>
    <row r="37" spans="3:10">
      <c r="C37" s="93"/>
      <c r="D37" s="86"/>
      <c r="E37" s="86"/>
      <c r="F37" s="86"/>
      <c r="G37" s="86"/>
      <c r="H37" s="86"/>
    </row>
    <row r="38" spans="3:10">
      <c r="D38" s="86"/>
      <c r="E38" s="86"/>
      <c r="F38" s="86"/>
      <c r="G38" s="86"/>
    </row>
    <row r="39" spans="3:10">
      <c r="D39" s="86"/>
      <c r="E39" s="86"/>
      <c r="F39" s="86"/>
      <c r="G39" s="86"/>
    </row>
    <row r="40" spans="3:10">
      <c r="D40" s="86"/>
      <c r="E40" s="86"/>
      <c r="F40" s="86"/>
      <c r="G40" s="86"/>
    </row>
    <row r="41" spans="3:10">
      <c r="D41" s="86"/>
      <c r="E41" s="86"/>
      <c r="F41" s="86"/>
      <c r="G41" s="86"/>
    </row>
    <row r="42" spans="3:10">
      <c r="D42" s="86"/>
      <c r="E42" s="86"/>
      <c r="F42" s="86"/>
      <c r="G42" s="86"/>
    </row>
    <row r="43" spans="3:10">
      <c r="D43" s="86"/>
      <c r="E43" s="86"/>
      <c r="F43" s="86"/>
      <c r="G43" s="86"/>
    </row>
    <row r="44" spans="3:10">
      <c r="D44" s="86"/>
      <c r="E44" s="86"/>
      <c r="F44" s="86"/>
      <c r="G44" s="86"/>
    </row>
    <row r="45" spans="3:10">
      <c r="D45" s="86"/>
      <c r="E45" s="86"/>
      <c r="F45" s="86"/>
      <c r="G45" s="86"/>
    </row>
    <row r="46" spans="3:10">
      <c r="D46" s="86"/>
      <c r="E46" s="86"/>
      <c r="F46" s="86"/>
      <c r="G46" s="86"/>
    </row>
    <row r="47" spans="3:10">
      <c r="D47" s="86"/>
      <c r="E47" s="86"/>
      <c r="F47" s="86"/>
      <c r="G47" s="86"/>
    </row>
    <row r="48" spans="3:10">
      <c r="D48" s="86"/>
      <c r="E48" s="86"/>
      <c r="F48" s="86"/>
      <c r="G48" s="86"/>
    </row>
    <row r="49" spans="4:7">
      <c r="D49" s="86"/>
      <c r="E49" s="86"/>
      <c r="F49" s="86"/>
      <c r="G49" s="86"/>
    </row>
    <row r="50" spans="4:7">
      <c r="D50" s="86"/>
      <c r="E50" s="86"/>
      <c r="F50" s="86"/>
      <c r="G50" s="86"/>
    </row>
    <row r="51" spans="4:7">
      <c r="D51" s="86"/>
      <c r="E51" s="86"/>
      <c r="F51" s="86"/>
      <c r="G51" s="86"/>
    </row>
    <row r="52" spans="4:7">
      <c r="D52" s="86"/>
      <c r="E52" s="86"/>
      <c r="F52" s="86"/>
      <c r="G52" s="86"/>
    </row>
    <row r="53" spans="4:7">
      <c r="D53" s="86"/>
      <c r="E53" s="86"/>
      <c r="F53" s="86"/>
      <c r="G53" s="86"/>
    </row>
    <row r="54" spans="4:7">
      <c r="D54" s="86"/>
      <c r="E54" s="86"/>
      <c r="F54" s="86"/>
      <c r="G54" s="86"/>
    </row>
    <row r="55" spans="4:7">
      <c r="D55" s="86"/>
      <c r="E55" s="86"/>
      <c r="F55" s="86"/>
      <c r="G55" s="86"/>
    </row>
    <row r="56" spans="4:7">
      <c r="D56" s="86"/>
      <c r="E56" s="86"/>
      <c r="F56" s="86"/>
      <c r="G56" s="86"/>
    </row>
    <row r="57" spans="4:7">
      <c r="D57" s="86"/>
      <c r="E57" s="86"/>
      <c r="F57" s="86"/>
      <c r="G57" s="86"/>
    </row>
    <row r="58" spans="4:7">
      <c r="D58" s="86"/>
      <c r="E58" s="86"/>
      <c r="F58" s="86"/>
      <c r="G58" s="86"/>
    </row>
    <row r="59" spans="4:7">
      <c r="D59" s="86"/>
      <c r="E59" s="86"/>
      <c r="F59" s="86"/>
      <c r="G59" s="86"/>
    </row>
    <row r="60" spans="4:7">
      <c r="D60" s="86"/>
      <c r="E60" s="86"/>
      <c r="F60" s="86"/>
      <c r="G60" s="86"/>
    </row>
    <row r="61" spans="4:7">
      <c r="D61" s="86"/>
      <c r="E61" s="86"/>
      <c r="F61" s="86"/>
      <c r="G61" s="86"/>
    </row>
  </sheetData>
  <mergeCells count="2">
    <mergeCell ref="C3:M3"/>
    <mergeCell ref="C4:M4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N20"/>
  <sheetViews>
    <sheetView view="pageBreakPreview" zoomScale="75" zoomScaleNormal="80" workbookViewId="0">
      <selection activeCell="E10" sqref="E10:N10"/>
    </sheetView>
  </sheetViews>
  <sheetFormatPr defaultColWidth="9.109375" defaultRowHeight="13.8" outlineLevelRow="1"/>
  <cols>
    <col min="1" max="1" width="29.6640625" style="7" customWidth="1"/>
    <col min="2" max="2" width="2.5546875" style="7" customWidth="1"/>
    <col min="3" max="3" width="9.109375" style="7"/>
    <col min="4" max="4" width="45.5546875" style="7" customWidth="1"/>
    <col min="5" max="14" width="11.6640625" style="7" customWidth="1"/>
    <col min="15" max="16384" width="9.109375" style="7"/>
  </cols>
  <sheetData>
    <row r="4" spans="1:14">
      <c r="D4" s="62"/>
    </row>
    <row r="5" spans="1:14" ht="16.8">
      <c r="B5" s="474" t="s">
        <v>192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</row>
    <row r="6" spans="1:14" s="204" customFormat="1" ht="17.399999999999999" thickBot="1">
      <c r="B6" s="205"/>
      <c r="C6" s="99"/>
      <c r="D6" s="48"/>
      <c r="E6" s="330"/>
      <c r="F6" s="330"/>
      <c r="G6" s="330"/>
      <c r="H6" s="330"/>
      <c r="I6" s="330"/>
    </row>
    <row r="7" spans="1:14" ht="32.25" customHeight="1" thickTop="1">
      <c r="B7" s="334"/>
      <c r="C7" s="335"/>
      <c r="D7" s="335"/>
      <c r="E7" s="472" t="s">
        <v>208</v>
      </c>
      <c r="F7" s="472"/>
      <c r="G7" s="472"/>
      <c r="H7" s="472"/>
      <c r="I7" s="472"/>
      <c r="J7" s="472"/>
      <c r="K7" s="472"/>
      <c r="L7" s="472"/>
      <c r="M7" s="472"/>
      <c r="N7" s="473"/>
    </row>
    <row r="8" spans="1:14" s="6" customFormat="1" outlineLevel="1">
      <c r="A8" s="229" t="s">
        <v>190</v>
      </c>
      <c r="B8" s="336"/>
      <c r="C8" s="337"/>
      <c r="D8" s="337"/>
      <c r="E8" s="337" t="s">
        <v>87</v>
      </c>
      <c r="F8" s="337" t="s">
        <v>88</v>
      </c>
      <c r="G8" s="337" t="s">
        <v>89</v>
      </c>
      <c r="H8" s="337" t="s">
        <v>90</v>
      </c>
      <c r="I8" s="337" t="s">
        <v>91</v>
      </c>
      <c r="J8" s="337" t="s">
        <v>200</v>
      </c>
      <c r="K8" s="337" t="s">
        <v>201</v>
      </c>
      <c r="L8" s="337" t="s">
        <v>202</v>
      </c>
      <c r="M8" s="337" t="s">
        <v>203</v>
      </c>
      <c r="N8" s="338" t="s">
        <v>204</v>
      </c>
    </row>
    <row r="9" spans="1:14" ht="14.4">
      <c r="A9" s="7" t="s">
        <v>186</v>
      </c>
      <c r="B9" s="339" t="s">
        <v>9</v>
      </c>
      <c r="C9" s="337"/>
      <c r="D9" s="337"/>
      <c r="E9" s="230" t="s">
        <v>3</v>
      </c>
      <c r="F9" s="230" t="s">
        <v>4</v>
      </c>
      <c r="G9" s="230" t="s">
        <v>5</v>
      </c>
      <c r="H9" s="230" t="s">
        <v>6</v>
      </c>
      <c r="I9" s="230" t="s">
        <v>7</v>
      </c>
      <c r="J9" s="230" t="s">
        <v>8</v>
      </c>
      <c r="K9" s="230" t="s">
        <v>196</v>
      </c>
      <c r="L9" s="230" t="s">
        <v>197</v>
      </c>
      <c r="M9" s="230" t="s">
        <v>198</v>
      </c>
      <c r="N9" s="310" t="s">
        <v>199</v>
      </c>
    </row>
    <row r="10" spans="1:14">
      <c r="A10" s="226"/>
      <c r="B10" s="340" t="s">
        <v>206</v>
      </c>
      <c r="C10" s="341"/>
      <c r="D10" s="341"/>
      <c r="E10" s="342"/>
      <c r="F10" s="342"/>
      <c r="G10" s="342"/>
      <c r="H10" s="343"/>
      <c r="I10" s="343"/>
      <c r="J10" s="343"/>
      <c r="K10" s="343"/>
      <c r="L10" s="343"/>
      <c r="M10" s="343"/>
      <c r="N10" s="344"/>
    </row>
    <row r="11" spans="1:14" hidden="1" outlineLevel="1">
      <c r="A11" s="7" t="s">
        <v>187</v>
      </c>
      <c r="B11" s="340"/>
      <c r="C11" s="345" t="s">
        <v>207</v>
      </c>
      <c r="D11" s="341"/>
      <c r="E11" s="346" t="e">
        <f>E10/E13</f>
        <v>#DIV/0!</v>
      </c>
      <c r="F11" s="346" t="e">
        <f>F10/F13</f>
        <v>#DIV/0!</v>
      </c>
      <c r="G11" s="346" t="e">
        <f>G10/G13</f>
        <v>#DIV/0!</v>
      </c>
      <c r="H11" s="346" t="e">
        <f t="shared" ref="H11:N11" si="0">H10/H13</f>
        <v>#DIV/0!</v>
      </c>
      <c r="I11" s="346" t="e">
        <f t="shared" si="0"/>
        <v>#DIV/0!</v>
      </c>
      <c r="J11" s="346" t="e">
        <f t="shared" si="0"/>
        <v>#DIV/0!</v>
      </c>
      <c r="K11" s="346" t="e">
        <f t="shared" si="0"/>
        <v>#DIV/0!</v>
      </c>
      <c r="L11" s="346" t="e">
        <f t="shared" si="0"/>
        <v>#DIV/0!</v>
      </c>
      <c r="M11" s="346" t="e">
        <f t="shared" si="0"/>
        <v>#DIV/0!</v>
      </c>
      <c r="N11" s="347" t="e">
        <f t="shared" si="0"/>
        <v>#DIV/0!</v>
      </c>
    </row>
    <row r="12" spans="1:14" collapsed="1">
      <c r="B12" s="340"/>
      <c r="C12" s="345" t="s">
        <v>223</v>
      </c>
      <c r="D12" s="341"/>
      <c r="E12" s="346"/>
      <c r="F12" s="346" t="e">
        <f>(F10-E10)/E10</f>
        <v>#DIV/0!</v>
      </c>
      <c r="G12" s="346" t="e">
        <f>(G10-F10)/F10</f>
        <v>#DIV/0!</v>
      </c>
      <c r="H12" s="346">
        <v>0.03</v>
      </c>
      <c r="I12" s="346">
        <f t="shared" ref="I12:N12" si="1">H12</f>
        <v>0.03</v>
      </c>
      <c r="J12" s="346">
        <f t="shared" si="1"/>
        <v>0.03</v>
      </c>
      <c r="K12" s="346">
        <f t="shared" si="1"/>
        <v>0.03</v>
      </c>
      <c r="L12" s="346">
        <f t="shared" si="1"/>
        <v>0.03</v>
      </c>
      <c r="M12" s="346">
        <f t="shared" si="1"/>
        <v>0.03</v>
      </c>
      <c r="N12" s="347">
        <f t="shared" si="1"/>
        <v>0.03</v>
      </c>
    </row>
    <row r="13" spans="1:14">
      <c r="A13" s="226"/>
      <c r="B13" s="348" t="s">
        <v>209</v>
      </c>
      <c r="C13" s="349"/>
      <c r="D13" s="349"/>
      <c r="E13" s="350">
        <f>E10</f>
        <v>0</v>
      </c>
      <c r="F13" s="350">
        <f>F10</f>
        <v>0</v>
      </c>
      <c r="G13" s="350">
        <f>G10</f>
        <v>0</v>
      </c>
      <c r="H13" s="350">
        <f t="shared" ref="H13:N13" si="2">H10</f>
        <v>0</v>
      </c>
      <c r="I13" s="350">
        <f t="shared" si="2"/>
        <v>0</v>
      </c>
      <c r="J13" s="350">
        <f t="shared" si="2"/>
        <v>0</v>
      </c>
      <c r="K13" s="350">
        <f t="shared" si="2"/>
        <v>0</v>
      </c>
      <c r="L13" s="350">
        <f t="shared" si="2"/>
        <v>0</v>
      </c>
      <c r="M13" s="350">
        <f t="shared" si="2"/>
        <v>0</v>
      </c>
      <c r="N13" s="351">
        <f t="shared" si="2"/>
        <v>0</v>
      </c>
    </row>
    <row r="14" spans="1:14" s="16" customFormat="1">
      <c r="A14" s="7" t="s">
        <v>188</v>
      </c>
      <c r="B14" s="352"/>
      <c r="C14" s="353" t="s">
        <v>92</v>
      </c>
      <c r="D14" s="353"/>
      <c r="E14" s="341"/>
      <c r="F14" s="354" t="e">
        <f>F13/E13-1</f>
        <v>#DIV/0!</v>
      </c>
      <c r="G14" s="354" t="e">
        <f>G13/F13-1</f>
        <v>#DIV/0!</v>
      </c>
      <c r="H14" s="354" t="e">
        <f t="shared" ref="H14:N14" si="3">H13/G13-1</f>
        <v>#DIV/0!</v>
      </c>
      <c r="I14" s="354" t="e">
        <f t="shared" si="3"/>
        <v>#DIV/0!</v>
      </c>
      <c r="J14" s="354" t="e">
        <f t="shared" si="3"/>
        <v>#DIV/0!</v>
      </c>
      <c r="K14" s="354" t="e">
        <f t="shared" si="3"/>
        <v>#DIV/0!</v>
      </c>
      <c r="L14" s="354" t="e">
        <f t="shared" si="3"/>
        <v>#DIV/0!</v>
      </c>
      <c r="M14" s="354" t="e">
        <f t="shared" si="3"/>
        <v>#DIV/0!</v>
      </c>
      <c r="N14" s="355" t="e">
        <f t="shared" si="3"/>
        <v>#DIV/0!</v>
      </c>
    </row>
    <row r="15" spans="1:14" ht="14.4" thickBot="1">
      <c r="A15" s="228"/>
      <c r="B15" s="356"/>
      <c r="C15" s="357" t="s">
        <v>210</v>
      </c>
      <c r="D15" s="357"/>
      <c r="E15" s="358">
        <f>E13/'Έσοδα από παραγωγή &amp; εμπορία'!D20</f>
        <v>0</v>
      </c>
      <c r="F15" s="358">
        <f>F13/'Έσοδα από παραγωγή &amp; εμπορία'!E20</f>
        <v>0</v>
      </c>
      <c r="G15" s="358">
        <f>G13/'Έσοδα από παραγωγή &amp; εμπορία'!F20</f>
        <v>0</v>
      </c>
      <c r="H15" s="358">
        <f>H13/'Έσοδα από παραγωγή &amp; εμπορία'!G20</f>
        <v>0</v>
      </c>
      <c r="I15" s="358">
        <f>I13/'Έσοδα από παραγωγή &amp; εμπορία'!H20</f>
        <v>0</v>
      </c>
      <c r="J15" s="358">
        <f>J13/'Έσοδα από παραγωγή &amp; εμπορία'!I20</f>
        <v>0</v>
      </c>
      <c r="K15" s="358">
        <f>K13/'Έσοδα από παραγωγή &amp; εμπορία'!J20</f>
        <v>0</v>
      </c>
      <c r="L15" s="358">
        <f>L13/'Έσοδα από παραγωγή &amp; εμπορία'!K20</f>
        <v>0</v>
      </c>
      <c r="M15" s="358">
        <f>M13/'Έσοδα από παραγωγή &amp; εμπορία'!L20</f>
        <v>0</v>
      </c>
      <c r="N15" s="359">
        <f>N13/'Έσοδα από παραγωγή &amp; εμπορία'!M20</f>
        <v>0</v>
      </c>
    </row>
    <row r="16" spans="1:14" ht="14.4" thickTop="1">
      <c r="A16" s="7" t="s">
        <v>189</v>
      </c>
      <c r="B16" s="331"/>
      <c r="C16" s="332"/>
      <c r="D16" s="332"/>
      <c r="E16" s="333"/>
      <c r="F16" s="333"/>
      <c r="G16" s="333"/>
      <c r="H16" s="333"/>
      <c r="I16" s="333"/>
      <c r="J16" s="333"/>
      <c r="K16" s="333"/>
      <c r="L16" s="333"/>
      <c r="M16" s="333"/>
      <c r="N16" s="333"/>
    </row>
    <row r="17" spans="1:14">
      <c r="A17" s="227"/>
      <c r="C17" s="16"/>
      <c r="E17" s="16"/>
      <c r="F17" s="18"/>
      <c r="G17" s="18"/>
      <c r="H17" s="18"/>
      <c r="I17" s="18"/>
    </row>
    <row r="18" spans="1:14">
      <c r="A18" s="7" t="s">
        <v>0</v>
      </c>
      <c r="C18" s="16"/>
      <c r="E18" s="207"/>
      <c r="F18" s="207"/>
      <c r="G18" s="207"/>
      <c r="H18" s="207"/>
      <c r="I18" s="207"/>
    </row>
    <row r="19" spans="1:14">
      <c r="A19" s="47" t="s">
        <v>1</v>
      </c>
      <c r="B19" s="14"/>
      <c r="C19" s="15"/>
      <c r="D19" s="15"/>
      <c r="E19" s="206"/>
      <c r="F19" s="206"/>
      <c r="G19" s="206"/>
      <c r="H19" s="206"/>
      <c r="I19" s="206"/>
      <c r="J19" s="206"/>
      <c r="K19" s="206"/>
      <c r="L19" s="206"/>
      <c r="M19" s="206"/>
      <c r="N19" s="206"/>
    </row>
    <row r="20" spans="1:14">
      <c r="C20" s="16"/>
      <c r="E20" s="207"/>
      <c r="F20" s="208"/>
      <c r="G20" s="207"/>
      <c r="H20" s="207"/>
      <c r="I20" s="207"/>
    </row>
  </sheetData>
  <mergeCells count="2">
    <mergeCell ref="E7:N7"/>
    <mergeCell ref="B5:N5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B830"/>
  <sheetViews>
    <sheetView zoomScaleNormal="100" zoomScaleSheetLayoutView="75" workbookViewId="0">
      <selection activeCell="P11" sqref="P11"/>
    </sheetView>
  </sheetViews>
  <sheetFormatPr defaultColWidth="9.109375" defaultRowHeight="13.2" outlineLevelRow="1" outlineLevelCol="2"/>
  <cols>
    <col min="1" max="2" width="9.109375" style="1"/>
    <col min="3" max="3" width="28.6640625" style="2" customWidth="1"/>
    <col min="4" max="4" width="19.44140625" style="2" customWidth="1"/>
    <col min="5" max="5" width="11.6640625" style="2" customWidth="1"/>
    <col min="6" max="6" width="11.6640625" style="1" customWidth="1"/>
    <col min="7" max="14" width="11.6640625" style="2" customWidth="1"/>
    <col min="15" max="15" width="9.109375" style="2" outlineLevel="1"/>
    <col min="16" max="21" width="10" style="2" customWidth="1" outlineLevel="1"/>
    <col min="22" max="27" width="10" style="2" hidden="1" customWidth="1" outlineLevel="2"/>
    <col min="28" max="28" width="3.109375" style="1" customWidth="1" outlineLevel="1" collapsed="1"/>
    <col min="29" max="16384" width="9.109375" style="1"/>
  </cols>
  <sheetData>
    <row r="2" spans="2:14" ht="13.8" thickBot="1"/>
    <row r="3" spans="2:14" ht="17.399999999999999" thickTop="1">
      <c r="B3" s="463" t="s">
        <v>211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5"/>
    </row>
    <row r="4" spans="2:14" ht="16.8">
      <c r="B4" s="393"/>
      <c r="C4" s="99"/>
      <c r="D4" s="48"/>
      <c r="E4" s="330"/>
      <c r="F4" s="330"/>
      <c r="G4" s="330"/>
      <c r="H4" s="330"/>
      <c r="I4" s="330"/>
      <c r="J4" s="394"/>
      <c r="K4" s="394"/>
      <c r="L4" s="394"/>
      <c r="M4" s="394"/>
      <c r="N4" s="395"/>
    </row>
    <row r="5" spans="2:14" ht="15.6" customHeight="1">
      <c r="B5" s="339" t="s">
        <v>9</v>
      </c>
      <c r="C5" s="337"/>
      <c r="D5" s="337"/>
      <c r="E5" s="477"/>
      <c r="F5" s="477"/>
      <c r="G5" s="477"/>
      <c r="H5" s="477"/>
      <c r="I5" s="477"/>
      <c r="J5" s="477"/>
      <c r="K5" s="477"/>
      <c r="L5" s="477"/>
      <c r="M5" s="477"/>
      <c r="N5" s="478"/>
    </row>
    <row r="6" spans="2:14" ht="13.8" hidden="1" outlineLevel="1">
      <c r="B6" s="360"/>
      <c r="C6" s="337"/>
      <c r="D6" s="337"/>
      <c r="E6" s="337" t="s">
        <v>87</v>
      </c>
      <c r="F6" s="337" t="s">
        <v>88</v>
      </c>
      <c r="G6" s="337" t="s">
        <v>89</v>
      </c>
      <c r="H6" s="337" t="s">
        <v>90</v>
      </c>
      <c r="I6" s="337" t="s">
        <v>91</v>
      </c>
      <c r="J6" s="337" t="s">
        <v>200</v>
      </c>
      <c r="K6" s="337" t="s">
        <v>201</v>
      </c>
      <c r="L6" s="337" t="s">
        <v>202</v>
      </c>
      <c r="M6" s="337" t="s">
        <v>203</v>
      </c>
      <c r="N6" s="338" t="s">
        <v>204</v>
      </c>
    </row>
    <row r="7" spans="2:14" ht="13.8" collapsed="1">
      <c r="B7" s="475" t="s">
        <v>233</v>
      </c>
      <c r="C7" s="476"/>
      <c r="D7" s="337"/>
      <c r="E7" s="230" t="s">
        <v>251</v>
      </c>
      <c r="F7" s="230" t="s">
        <v>243</v>
      </c>
      <c r="G7" s="230" t="s">
        <v>244</v>
      </c>
      <c r="H7" s="230" t="s">
        <v>245</v>
      </c>
      <c r="I7" s="230" t="s">
        <v>246</v>
      </c>
      <c r="J7" s="230" t="s">
        <v>247</v>
      </c>
      <c r="K7" s="230" t="s">
        <v>248</v>
      </c>
      <c r="L7" s="230" t="s">
        <v>249</v>
      </c>
      <c r="M7" s="230" t="s">
        <v>250</v>
      </c>
      <c r="N7" s="230" t="s">
        <v>270</v>
      </c>
    </row>
    <row r="8" spans="2:14" ht="13.8">
      <c r="B8" s="340" t="s">
        <v>212</v>
      </c>
      <c r="C8" s="341"/>
      <c r="D8" s="341"/>
      <c r="E8" s="342">
        <v>8853</v>
      </c>
      <c r="F8" s="342">
        <v>9075</v>
      </c>
      <c r="G8" s="342">
        <v>9300</v>
      </c>
      <c r="H8" s="343">
        <f>G8+H10*G8</f>
        <v>9530.5785123966944</v>
      </c>
      <c r="I8" s="343">
        <f t="shared" ref="I8:N8" si="0">H8+I10*H8</f>
        <v>9766.873847414794</v>
      </c>
      <c r="J8" s="343">
        <f t="shared" si="0"/>
        <v>10009.027744458135</v>
      </c>
      <c r="K8" s="343">
        <f t="shared" si="0"/>
        <v>10257.18545713065</v>
      </c>
      <c r="L8" s="343">
        <f t="shared" si="0"/>
        <v>10511.495840365294</v>
      </c>
      <c r="M8" s="343">
        <f t="shared" si="0"/>
        <v>10772.111439713195</v>
      </c>
      <c r="N8" s="344">
        <f t="shared" si="0"/>
        <v>11039.18858284658</v>
      </c>
    </row>
    <row r="9" spans="2:14" ht="13.8">
      <c r="B9" s="340"/>
      <c r="C9" s="361" t="s">
        <v>213</v>
      </c>
      <c r="D9" s="341"/>
      <c r="E9" s="346">
        <f t="shared" ref="E9:N9" si="1">E8/E22</f>
        <v>0.35534237777956168</v>
      </c>
      <c r="F9" s="346">
        <f t="shared" si="1"/>
        <v>0.35141728624535318</v>
      </c>
      <c r="G9" s="346">
        <f t="shared" si="1"/>
        <v>0.31915988880881291</v>
      </c>
      <c r="H9" s="346">
        <f t="shared" si="1"/>
        <v>0.31811234942545646</v>
      </c>
      <c r="I9" s="346">
        <f t="shared" si="1"/>
        <v>0.31703785752418773</v>
      </c>
      <c r="J9" s="346">
        <f t="shared" si="1"/>
        <v>0.31593714188840177</v>
      </c>
      <c r="K9" s="346">
        <f t="shared" si="1"/>
        <v>0.3148109242428111</v>
      </c>
      <c r="L9" s="346">
        <f t="shared" si="1"/>
        <v>0.31365991890417327</v>
      </c>
      <c r="M9" s="346">
        <f t="shared" si="1"/>
        <v>0.31248483246062825</v>
      </c>
      <c r="N9" s="347">
        <f t="shared" si="1"/>
        <v>0.31128636347862854</v>
      </c>
    </row>
    <row r="10" spans="2:14" ht="13.8">
      <c r="B10" s="340"/>
      <c r="C10" s="361" t="s">
        <v>222</v>
      </c>
      <c r="D10" s="341"/>
      <c r="E10" s="346"/>
      <c r="F10" s="346">
        <f>(F8-E8)/E8</f>
        <v>2.507624534056252E-2</v>
      </c>
      <c r="G10" s="346">
        <f>(G8-F8)/F8</f>
        <v>2.4793388429752067E-2</v>
      </c>
      <c r="H10" s="346">
        <f>G10</f>
        <v>2.4793388429752067E-2</v>
      </c>
      <c r="I10" s="346">
        <f t="shared" ref="I10:N10" si="2">H10</f>
        <v>2.4793388429752067E-2</v>
      </c>
      <c r="J10" s="346">
        <f t="shared" si="2"/>
        <v>2.4793388429752067E-2</v>
      </c>
      <c r="K10" s="346">
        <f t="shared" si="2"/>
        <v>2.4793388429752067E-2</v>
      </c>
      <c r="L10" s="346">
        <f t="shared" si="2"/>
        <v>2.4793388429752067E-2</v>
      </c>
      <c r="M10" s="346">
        <f t="shared" si="2"/>
        <v>2.4793388429752067E-2</v>
      </c>
      <c r="N10" s="347">
        <f t="shared" si="2"/>
        <v>2.4793388429752067E-2</v>
      </c>
    </row>
    <row r="11" spans="2:14" ht="13.8">
      <c r="B11" s="340" t="s">
        <v>206</v>
      </c>
      <c r="C11" s="341"/>
      <c r="D11" s="341"/>
      <c r="E11" s="342">
        <v>8400</v>
      </c>
      <c r="F11" s="342">
        <v>8650</v>
      </c>
      <c r="G11" s="342">
        <v>9500</v>
      </c>
      <c r="H11" s="343">
        <f>G11+H13*G11</f>
        <v>9785</v>
      </c>
      <c r="I11" s="343">
        <f t="shared" ref="I11:N11" si="3">H11+I13*H11</f>
        <v>10078.549999999999</v>
      </c>
      <c r="J11" s="343">
        <f t="shared" si="3"/>
        <v>10380.906499999999</v>
      </c>
      <c r="K11" s="343">
        <f t="shared" si="3"/>
        <v>10692.333694999999</v>
      </c>
      <c r="L11" s="343">
        <f t="shared" si="3"/>
        <v>11013.103705849999</v>
      </c>
      <c r="M11" s="343">
        <f t="shared" si="3"/>
        <v>11343.496817025498</v>
      </c>
      <c r="N11" s="344">
        <f t="shared" si="3"/>
        <v>11683.801721536263</v>
      </c>
    </row>
    <row r="12" spans="2:14" ht="13.8">
      <c r="B12" s="340"/>
      <c r="C12" s="345" t="s">
        <v>213</v>
      </c>
      <c r="D12" s="341"/>
      <c r="E12" s="346">
        <f>E11/E22</f>
        <v>0.33715982981456211</v>
      </c>
      <c r="F12" s="346">
        <f t="shared" ref="F12:N12" si="4">F11/F22</f>
        <v>0.33495972738537794</v>
      </c>
      <c r="G12" s="346">
        <f t="shared" si="4"/>
        <v>0.32602354233158309</v>
      </c>
      <c r="H12" s="346">
        <f t="shared" si="4"/>
        <v>0.32660444852107096</v>
      </c>
      <c r="I12" s="346">
        <f t="shared" si="4"/>
        <v>0.32715502922116324</v>
      </c>
      <c r="J12" s="346">
        <f t="shared" si="4"/>
        <v>0.32767557584568247</v>
      </c>
      <c r="K12" s="346">
        <f t="shared" si="4"/>
        <v>0.32816638315683977</v>
      </c>
      <c r="L12" s="346">
        <f t="shared" si="4"/>
        <v>0.32862774886852975</v>
      </c>
      <c r="M12" s="346">
        <f t="shared" si="4"/>
        <v>0.32905997326743758</v>
      </c>
      <c r="N12" s="347">
        <f t="shared" si="4"/>
        <v>0.32946335885173539</v>
      </c>
    </row>
    <row r="13" spans="2:14" ht="13.8">
      <c r="B13" s="340"/>
      <c r="C13" s="361" t="s">
        <v>223</v>
      </c>
      <c r="D13" s="341"/>
      <c r="E13" s="346"/>
      <c r="F13" s="346">
        <f>(F11-E11)/E11</f>
        <v>2.976190476190476E-2</v>
      </c>
      <c r="G13" s="346">
        <f>(G11-F11)/F11</f>
        <v>9.8265895953757232E-2</v>
      </c>
      <c r="H13" s="346">
        <v>0.03</v>
      </c>
      <c r="I13" s="346">
        <f t="shared" ref="I13:N13" si="5">H13</f>
        <v>0.03</v>
      </c>
      <c r="J13" s="346">
        <f t="shared" si="5"/>
        <v>0.03</v>
      </c>
      <c r="K13" s="346">
        <f t="shared" si="5"/>
        <v>0.03</v>
      </c>
      <c r="L13" s="346">
        <f t="shared" si="5"/>
        <v>0.03</v>
      </c>
      <c r="M13" s="346">
        <f t="shared" si="5"/>
        <v>0.03</v>
      </c>
      <c r="N13" s="347">
        <f t="shared" si="5"/>
        <v>0.03</v>
      </c>
    </row>
    <row r="14" spans="2:14" ht="13.8">
      <c r="B14" s="340" t="s">
        <v>214</v>
      </c>
      <c r="C14" s="345"/>
      <c r="D14" s="341"/>
      <c r="E14" s="362">
        <v>4000</v>
      </c>
      <c r="F14" s="362">
        <v>4400</v>
      </c>
      <c r="G14" s="362">
        <v>6600</v>
      </c>
      <c r="H14" s="363">
        <f>G14+H16*G14</f>
        <v>6864</v>
      </c>
      <c r="I14" s="363">
        <f t="shared" ref="I14:N14" si="6">H14+I16*H14</f>
        <v>7138.56</v>
      </c>
      <c r="J14" s="363">
        <f t="shared" si="6"/>
        <v>7424.1024000000007</v>
      </c>
      <c r="K14" s="363">
        <f t="shared" si="6"/>
        <v>7721.0664960000004</v>
      </c>
      <c r="L14" s="363">
        <f t="shared" si="6"/>
        <v>8029.9091558400005</v>
      </c>
      <c r="M14" s="363">
        <f t="shared" si="6"/>
        <v>8351.1055220735998</v>
      </c>
      <c r="N14" s="364">
        <f t="shared" si="6"/>
        <v>8685.1497429565443</v>
      </c>
    </row>
    <row r="15" spans="2:14" ht="13.8">
      <c r="B15" s="340"/>
      <c r="C15" s="345" t="s">
        <v>213</v>
      </c>
      <c r="D15" s="341"/>
      <c r="E15" s="346">
        <f t="shared" ref="E15:N15" si="7">E14/E22</f>
        <v>0.16055229991169623</v>
      </c>
      <c r="F15" s="346">
        <f t="shared" si="7"/>
        <v>0.17038413878562578</v>
      </c>
      <c r="G15" s="346">
        <f t="shared" si="7"/>
        <v>0.22650056625141562</v>
      </c>
      <c r="H15" s="346">
        <f t="shared" si="7"/>
        <v>0.2291070960294973</v>
      </c>
      <c r="I15" s="346">
        <f t="shared" si="7"/>
        <v>0.2317214088730053</v>
      </c>
      <c r="J15" s="346">
        <f t="shared" si="7"/>
        <v>0.23434341009210646</v>
      </c>
      <c r="K15" s="346">
        <f t="shared" si="7"/>
        <v>0.23697300686478195</v>
      </c>
      <c r="L15" s="346">
        <f t="shared" si="7"/>
        <v>0.23961010810247582</v>
      </c>
      <c r="M15" s="346">
        <f t="shared" si="7"/>
        <v>0.24225462431677888</v>
      </c>
      <c r="N15" s="347">
        <f t="shared" si="7"/>
        <v>0.2449064674874086</v>
      </c>
    </row>
    <row r="16" spans="2:14" ht="13.8">
      <c r="B16" s="340"/>
      <c r="C16" s="361" t="s">
        <v>222</v>
      </c>
      <c r="D16" s="341"/>
      <c r="E16" s="346"/>
      <c r="F16" s="346">
        <f>(F14-E14)/E14</f>
        <v>0.1</v>
      </c>
      <c r="G16" s="346">
        <f>(G14-F14)/F14</f>
        <v>0.5</v>
      </c>
      <c r="H16" s="346">
        <v>0.04</v>
      </c>
      <c r="I16" s="346">
        <f t="shared" ref="I16:N16" si="8">H16</f>
        <v>0.04</v>
      </c>
      <c r="J16" s="346">
        <f t="shared" si="8"/>
        <v>0.04</v>
      </c>
      <c r="K16" s="346">
        <f t="shared" si="8"/>
        <v>0.04</v>
      </c>
      <c r="L16" s="346">
        <f t="shared" si="8"/>
        <v>0.04</v>
      </c>
      <c r="M16" s="346">
        <f t="shared" si="8"/>
        <v>0.04</v>
      </c>
      <c r="N16" s="347">
        <f t="shared" si="8"/>
        <v>0.04</v>
      </c>
    </row>
    <row r="17" spans="2:14" ht="13.8">
      <c r="B17" s="340" t="s">
        <v>215</v>
      </c>
      <c r="C17" s="345"/>
      <c r="D17" s="341"/>
      <c r="E17" s="362">
        <v>2376</v>
      </c>
      <c r="F17" s="362">
        <v>2376</v>
      </c>
      <c r="G17" s="362">
        <v>2376</v>
      </c>
      <c r="H17" s="362">
        <v>2376</v>
      </c>
      <c r="I17" s="362">
        <v>2376</v>
      </c>
      <c r="J17" s="362">
        <v>2376</v>
      </c>
      <c r="K17" s="362">
        <v>2376</v>
      </c>
      <c r="L17" s="362">
        <v>2376</v>
      </c>
      <c r="M17" s="362">
        <v>2376</v>
      </c>
      <c r="N17" s="365">
        <v>2376</v>
      </c>
    </row>
    <row r="18" spans="2:14" ht="13.8">
      <c r="B18" s="340"/>
      <c r="C18" s="345" t="s">
        <v>213</v>
      </c>
      <c r="D18" s="341"/>
      <c r="E18" s="346">
        <f t="shared" ref="E18:N18" si="9">E17/E22</f>
        <v>9.5368066147547559E-2</v>
      </c>
      <c r="F18" s="346">
        <f t="shared" si="9"/>
        <v>9.2007434944237923E-2</v>
      </c>
      <c r="G18" s="346">
        <f t="shared" si="9"/>
        <v>8.1540203850509627E-2</v>
      </c>
      <c r="H18" s="346">
        <f t="shared" si="9"/>
        <v>7.9306302471749066E-2</v>
      </c>
      <c r="I18" s="346">
        <f t="shared" si="9"/>
        <v>7.7126208574594957E-2</v>
      </c>
      <c r="J18" s="346">
        <f t="shared" si="9"/>
        <v>7.4998957770146729E-2</v>
      </c>
      <c r="K18" s="346">
        <f t="shared" si="9"/>
        <v>7.2923586994415382E-2</v>
      </c>
      <c r="L18" s="346">
        <f t="shared" si="9"/>
        <v>7.0899135445066847E-2</v>
      </c>
      <c r="M18" s="346">
        <f t="shared" si="9"/>
        <v>6.8924645468225923E-2</v>
      </c>
      <c r="N18" s="347">
        <f t="shared" si="9"/>
        <v>6.6999163396346553E-2</v>
      </c>
    </row>
    <row r="19" spans="2:14" ht="13.8">
      <c r="B19" s="340" t="s">
        <v>216</v>
      </c>
      <c r="C19" s="345"/>
      <c r="D19" s="341"/>
      <c r="E19" s="362">
        <v>1285</v>
      </c>
      <c r="F19" s="362">
        <v>1323</v>
      </c>
      <c r="G19" s="362">
        <v>1363</v>
      </c>
      <c r="H19" s="363">
        <f>G19+H21*G19</f>
        <v>1404.2093726379442</v>
      </c>
      <c r="I19" s="363">
        <f t="shared" ref="I19:N19" si="10">H19+I21*H19</f>
        <v>1446.6646824682675</v>
      </c>
      <c r="J19" s="363">
        <f t="shared" si="10"/>
        <v>1490.4035995496965</v>
      </c>
      <c r="K19" s="363">
        <f t="shared" si="10"/>
        <v>1535.4649328694152</v>
      </c>
      <c r="L19" s="363">
        <f t="shared" si="10"/>
        <v>1581.8886647777874</v>
      </c>
      <c r="M19" s="363">
        <f t="shared" si="10"/>
        <v>1629.7159864641908</v>
      </c>
      <c r="N19" s="364">
        <f t="shared" si="10"/>
        <v>1678.9893345054361</v>
      </c>
    </row>
    <row r="20" spans="2:14" ht="13.8">
      <c r="B20" s="340"/>
      <c r="C20" s="345" t="s">
        <v>213</v>
      </c>
      <c r="D20" s="341"/>
      <c r="E20" s="346">
        <f t="shared" ref="E20:N20" si="11">E19/E22</f>
        <v>5.1577426346632413E-2</v>
      </c>
      <c r="F20" s="346">
        <f t="shared" si="11"/>
        <v>5.1231412639405206E-2</v>
      </c>
      <c r="G20" s="346">
        <f t="shared" si="11"/>
        <v>4.6775798757678712E-2</v>
      </c>
      <c r="H20" s="346">
        <f t="shared" si="11"/>
        <v>4.6869803552226343E-2</v>
      </c>
      <c r="I20" s="346">
        <f t="shared" si="11"/>
        <v>4.695949580704873E-2</v>
      </c>
      <c r="J20" s="346">
        <f t="shared" si="11"/>
        <v>4.704491440366261E-2</v>
      </c>
      <c r="K20" s="346">
        <f t="shared" si="11"/>
        <v>4.7126098741151923E-2</v>
      </c>
      <c r="L20" s="346">
        <f t="shared" si="11"/>
        <v>4.7203088679754333E-2</v>
      </c>
      <c r="M20" s="346">
        <f t="shared" si="11"/>
        <v>4.7275924486929473E-2</v>
      </c>
      <c r="N20" s="347">
        <f t="shared" si="11"/>
        <v>4.7344646785880844E-2</v>
      </c>
    </row>
    <row r="21" spans="2:14" ht="13.8">
      <c r="B21" s="340"/>
      <c r="C21" s="361" t="s">
        <v>222</v>
      </c>
      <c r="D21" s="341"/>
      <c r="E21" s="346"/>
      <c r="F21" s="346">
        <f>(F19-E19)/E19</f>
        <v>2.9571984435797664E-2</v>
      </c>
      <c r="G21" s="346">
        <f>(G19-F19)/F19</f>
        <v>3.0234315948601664E-2</v>
      </c>
      <c r="H21" s="346">
        <f>G21</f>
        <v>3.0234315948601664E-2</v>
      </c>
      <c r="I21" s="346">
        <f t="shared" ref="I21:N21" si="12">H21</f>
        <v>3.0234315948601664E-2</v>
      </c>
      <c r="J21" s="346">
        <f t="shared" si="12"/>
        <v>3.0234315948601664E-2</v>
      </c>
      <c r="K21" s="346">
        <f t="shared" si="12"/>
        <v>3.0234315948601664E-2</v>
      </c>
      <c r="L21" s="346">
        <f t="shared" si="12"/>
        <v>3.0234315948601664E-2</v>
      </c>
      <c r="M21" s="346">
        <f t="shared" si="12"/>
        <v>3.0234315948601664E-2</v>
      </c>
      <c r="N21" s="347">
        <f t="shared" si="12"/>
        <v>3.0234315948601664E-2</v>
      </c>
    </row>
    <row r="22" spans="2:14" ht="13.8">
      <c r="B22" s="348" t="s">
        <v>232</v>
      </c>
      <c r="C22" s="349"/>
      <c r="D22" s="349"/>
      <c r="E22" s="350">
        <f>E8+E11+E14+E17+E19</f>
        <v>24914</v>
      </c>
      <c r="F22" s="350">
        <f t="shared" ref="F22:N22" si="13">F8+F11+F14+F17+F19</f>
        <v>25824</v>
      </c>
      <c r="G22" s="350">
        <f t="shared" si="13"/>
        <v>29139</v>
      </c>
      <c r="H22" s="350">
        <f t="shared" si="13"/>
        <v>29959.787885034635</v>
      </c>
      <c r="I22" s="350">
        <f t="shared" si="13"/>
        <v>30806.648529883063</v>
      </c>
      <c r="J22" s="350">
        <f t="shared" si="13"/>
        <v>31680.44024400783</v>
      </c>
      <c r="K22" s="350">
        <f t="shared" si="13"/>
        <v>32582.050581000061</v>
      </c>
      <c r="L22" s="350">
        <f t="shared" si="13"/>
        <v>33512.39736683308</v>
      </c>
      <c r="M22" s="350">
        <f t="shared" si="13"/>
        <v>34472.42976527648</v>
      </c>
      <c r="N22" s="351">
        <f t="shared" si="13"/>
        <v>35463.129381844825</v>
      </c>
    </row>
    <row r="23" spans="2:14" ht="13.8">
      <c r="B23" s="352"/>
      <c r="C23" s="353" t="s">
        <v>92</v>
      </c>
      <c r="D23" s="353"/>
      <c r="E23" s="341"/>
      <c r="F23" s="354">
        <f>F22/E22-1</f>
        <v>3.6525648229911001E-2</v>
      </c>
      <c r="G23" s="354">
        <f>G22/F22-1</f>
        <v>0.12836895910780677</v>
      </c>
      <c r="H23" s="354">
        <f t="shared" ref="H23:N23" si="14">H22/G22-1</f>
        <v>2.8168018292825225E-2</v>
      </c>
      <c r="I23" s="354">
        <f t="shared" si="14"/>
        <v>2.8266576789465425E-2</v>
      </c>
      <c r="J23" s="354">
        <f t="shared" si="14"/>
        <v>2.8363738213105893E-2</v>
      </c>
      <c r="K23" s="354">
        <f t="shared" si="14"/>
        <v>2.8459526763134679E-2</v>
      </c>
      <c r="L23" s="354">
        <f t="shared" si="14"/>
        <v>2.8553966654742746E-2</v>
      </c>
      <c r="M23" s="354">
        <f t="shared" si="14"/>
        <v>2.8647082091284082E-2</v>
      </c>
      <c r="N23" s="355">
        <f t="shared" si="14"/>
        <v>2.8738897237996941E-2</v>
      </c>
    </row>
    <row r="24" spans="2:14" ht="13.8" hidden="1" outlineLevel="1">
      <c r="B24" s="340"/>
      <c r="C24" s="353" t="s">
        <v>210</v>
      </c>
      <c r="D24" s="353"/>
      <c r="E24" s="366">
        <f>E22/'Έσοδα από παραγωγή &amp; εμπορία'!D17</f>
        <v>0.96323216702107095</v>
      </c>
      <c r="F24" s="366">
        <f>F22/'Έσοδα από παραγωγή &amp; εμπορία'!E17</f>
        <v>0.96936936936936935</v>
      </c>
      <c r="G24" s="366">
        <f>G22/'Έσοδα από παραγωγή &amp; εμπορία'!F17</f>
        <v>0.99436936936936937</v>
      </c>
      <c r="H24" s="366">
        <f>H22/'Έσοδα από παραγωγή &amp; εμπορία'!G17</f>
        <v>0.99744271605423507</v>
      </c>
      <c r="I24" s="366">
        <f>I22/'Έσοδα από παραγωγή &amp; εμπορία'!H17</f>
        <v>1.0006214704201708</v>
      </c>
      <c r="J24" s="366">
        <f>J22/'Έσοδα από παραγωγή &amp; εμπορία'!I17</f>
        <v>1.0039052057147138</v>
      </c>
      <c r="K24" s="366">
        <f>K22/'Έσοδα από παραγωγή &amp; εμπορία'!J17</f>
        <v>1.0072935344238068</v>
      </c>
      <c r="L24" s="366">
        <f>L22/'Έσοδα από παραγωγή &amp; εμπορία'!K17</f>
        <v>1.0107861077241778</v>
      </c>
      <c r="M24" s="366">
        <f>M22/'Έσοδα από παραγωγή &amp; εμπορία'!L17</f>
        <v>1.0143826149550066</v>
      </c>
      <c r="N24" s="367">
        <f>N22/'Έσοδα από παραγωγή &amp; εμπορία'!M17</f>
        <v>1.0180827831084966</v>
      </c>
    </row>
    <row r="25" spans="2:14" ht="13.8" collapsed="1">
      <c r="B25" s="348" t="s">
        <v>234</v>
      </c>
      <c r="C25" s="349"/>
      <c r="D25" s="349"/>
      <c r="E25" s="368"/>
      <c r="F25" s="368"/>
      <c r="G25" s="368"/>
      <c r="H25" s="368"/>
      <c r="I25" s="368"/>
      <c r="J25" s="368"/>
      <c r="K25" s="368"/>
      <c r="L25" s="368"/>
      <c r="M25" s="368"/>
      <c r="N25" s="369"/>
    </row>
    <row r="26" spans="2:14" ht="13.8">
      <c r="B26" s="340" t="s">
        <v>212</v>
      </c>
      <c r="C26" s="341"/>
      <c r="D26" s="341"/>
      <c r="E26" s="342">
        <v>17975</v>
      </c>
      <c r="F26" s="342">
        <v>18400</v>
      </c>
      <c r="G26" s="342">
        <v>18860</v>
      </c>
      <c r="H26" s="343">
        <f>G26+H28*G26</f>
        <v>19331.5</v>
      </c>
      <c r="I26" s="343">
        <f t="shared" ref="I26:N26" si="15">H26+I28*H26</f>
        <v>19814.787499999999</v>
      </c>
      <c r="J26" s="343">
        <f t="shared" si="15"/>
        <v>20310.157187499997</v>
      </c>
      <c r="K26" s="343">
        <f t="shared" si="15"/>
        <v>20817.911117187497</v>
      </c>
      <c r="L26" s="343">
        <f t="shared" si="15"/>
        <v>21338.358895117184</v>
      </c>
      <c r="M26" s="343">
        <f t="shared" si="15"/>
        <v>21871.817867495112</v>
      </c>
      <c r="N26" s="344">
        <f t="shared" si="15"/>
        <v>22418.61331418249</v>
      </c>
    </row>
    <row r="27" spans="2:14" ht="13.8">
      <c r="B27" s="340"/>
      <c r="C27" s="345" t="s">
        <v>213</v>
      </c>
      <c r="D27" s="341"/>
      <c r="E27" s="346">
        <f t="shared" ref="E27:N27" si="16">E26/E37</f>
        <v>0.59110789568877631</v>
      </c>
      <c r="F27" s="346">
        <f t="shared" si="16"/>
        <v>0.58763413387838526</v>
      </c>
      <c r="G27" s="346">
        <f t="shared" si="16"/>
        <v>0.55382627591472366</v>
      </c>
      <c r="H27" s="346">
        <f t="shared" si="16"/>
        <v>0.55368904095944249</v>
      </c>
      <c r="I27" s="346">
        <f t="shared" si="16"/>
        <v>0.55347751709237003</v>
      </c>
      <c r="J27" s="346">
        <f t="shared" si="16"/>
        <v>0.55319261686751975</v>
      </c>
      <c r="K27" s="346">
        <f t="shared" si="16"/>
        <v>0.55283527500398599</v>
      </c>
      <c r="L27" s="346">
        <f t="shared" si="16"/>
        <v>0.55240644683808371</v>
      </c>
      <c r="M27" s="346">
        <f t="shared" si="16"/>
        <v>0.55190710680844612</v>
      </c>
      <c r="N27" s="347">
        <f t="shared" si="16"/>
        <v>0.55133824697586997</v>
      </c>
    </row>
    <row r="28" spans="2:14" ht="13.8">
      <c r="B28" s="340"/>
      <c r="C28" s="361" t="s">
        <v>222</v>
      </c>
      <c r="D28" s="341"/>
      <c r="E28" s="346"/>
      <c r="F28" s="346">
        <f>(F26-E26)/E26</f>
        <v>2.3643949930458971E-2</v>
      </c>
      <c r="G28" s="346">
        <f>(G26-F26)/F26</f>
        <v>2.5000000000000001E-2</v>
      </c>
      <c r="H28" s="346">
        <f>G28</f>
        <v>2.5000000000000001E-2</v>
      </c>
      <c r="I28" s="346">
        <f t="shared" ref="I28:N28" si="17">H28</f>
        <v>2.5000000000000001E-2</v>
      </c>
      <c r="J28" s="346">
        <f t="shared" si="17"/>
        <v>2.5000000000000001E-2</v>
      </c>
      <c r="K28" s="346">
        <f t="shared" si="17"/>
        <v>2.5000000000000001E-2</v>
      </c>
      <c r="L28" s="346">
        <f t="shared" si="17"/>
        <v>2.5000000000000001E-2</v>
      </c>
      <c r="M28" s="346">
        <f t="shared" si="17"/>
        <v>2.5000000000000001E-2</v>
      </c>
      <c r="N28" s="347">
        <f t="shared" si="17"/>
        <v>2.5000000000000001E-2</v>
      </c>
    </row>
    <row r="29" spans="2:14" ht="13.8">
      <c r="B29" s="340" t="s">
        <v>214</v>
      </c>
      <c r="C29" s="345"/>
      <c r="D29" s="341"/>
      <c r="E29" s="362">
        <v>5000</v>
      </c>
      <c r="F29" s="362">
        <v>5400</v>
      </c>
      <c r="G29" s="362">
        <v>7600</v>
      </c>
      <c r="H29" s="363">
        <f>G29+H31*G29</f>
        <v>7904</v>
      </c>
      <c r="I29" s="363">
        <f t="shared" ref="I29:N29" si="18">H29+I31*H29</f>
        <v>8220.16</v>
      </c>
      <c r="J29" s="363">
        <f t="shared" si="18"/>
        <v>8548.9663999999993</v>
      </c>
      <c r="K29" s="363">
        <f t="shared" si="18"/>
        <v>8890.925056</v>
      </c>
      <c r="L29" s="363">
        <f t="shared" si="18"/>
        <v>9246.5620582400006</v>
      </c>
      <c r="M29" s="363">
        <f t="shared" si="18"/>
        <v>9616.4245405696001</v>
      </c>
      <c r="N29" s="364">
        <f t="shared" si="18"/>
        <v>10001.081522192384</v>
      </c>
    </row>
    <row r="30" spans="2:14" ht="13.8">
      <c r="B30" s="340"/>
      <c r="C30" s="345" t="s">
        <v>213</v>
      </c>
      <c r="D30" s="341"/>
      <c r="E30" s="346">
        <f t="shared" ref="E30:N30" si="19">E29/E37</f>
        <v>0.1644250057548752</v>
      </c>
      <c r="F30" s="346">
        <f t="shared" si="19"/>
        <v>0.17245784363822178</v>
      </c>
      <c r="G30" s="346">
        <f t="shared" si="19"/>
        <v>0.22317495742056734</v>
      </c>
      <c r="H30" s="346">
        <f t="shared" si="19"/>
        <v>0.22638482165085139</v>
      </c>
      <c r="I30" s="346">
        <f t="shared" si="19"/>
        <v>0.22961001963316621</v>
      </c>
      <c r="J30" s="346">
        <f t="shared" si="19"/>
        <v>0.23285024584837424</v>
      </c>
      <c r="K30" s="346">
        <f t="shared" si="19"/>
        <v>0.2361051966599825</v>
      </c>
      <c r="L30" s="346">
        <f t="shared" si="19"/>
        <v>0.23937457032972759</v>
      </c>
      <c r="M30" s="346">
        <f t="shared" si="19"/>
        <v>0.24265806702400727</v>
      </c>
      <c r="N30" s="347">
        <f t="shared" si="19"/>
        <v>0.24595538881167348</v>
      </c>
    </row>
    <row r="31" spans="2:14" ht="13.8">
      <c r="B31" s="340"/>
      <c r="C31" s="361" t="s">
        <v>222</v>
      </c>
      <c r="D31" s="341"/>
      <c r="E31" s="346"/>
      <c r="F31" s="346">
        <f>(F29-E29)/E29</f>
        <v>0.08</v>
      </c>
      <c r="G31" s="346">
        <f>(G29-F29)/F29</f>
        <v>0.40740740740740738</v>
      </c>
      <c r="H31" s="346">
        <v>0.04</v>
      </c>
      <c r="I31" s="346">
        <f t="shared" ref="I31:N31" si="20">H31</f>
        <v>0.04</v>
      </c>
      <c r="J31" s="346">
        <f t="shared" si="20"/>
        <v>0.04</v>
      </c>
      <c r="K31" s="346">
        <f t="shared" si="20"/>
        <v>0.04</v>
      </c>
      <c r="L31" s="346">
        <f t="shared" si="20"/>
        <v>0.04</v>
      </c>
      <c r="M31" s="346">
        <f t="shared" si="20"/>
        <v>0.04</v>
      </c>
      <c r="N31" s="347">
        <f t="shared" si="20"/>
        <v>0.04</v>
      </c>
    </row>
    <row r="32" spans="2:14" ht="13.8">
      <c r="B32" s="340" t="s">
        <v>215</v>
      </c>
      <c r="C32" s="345"/>
      <c r="D32" s="341"/>
      <c r="E32" s="362">
        <v>4824</v>
      </c>
      <c r="F32" s="362">
        <v>4824</v>
      </c>
      <c r="G32" s="362">
        <v>4824</v>
      </c>
      <c r="H32" s="362">
        <v>4824</v>
      </c>
      <c r="I32" s="362">
        <v>4824</v>
      </c>
      <c r="J32" s="362">
        <v>4824</v>
      </c>
      <c r="K32" s="362">
        <v>4824</v>
      </c>
      <c r="L32" s="362">
        <v>4824</v>
      </c>
      <c r="M32" s="362">
        <v>4824</v>
      </c>
      <c r="N32" s="365">
        <v>4824</v>
      </c>
    </row>
    <row r="33" spans="2:14" ht="13.8">
      <c r="B33" s="340"/>
      <c r="C33" s="345" t="s">
        <v>213</v>
      </c>
      <c r="D33" s="341"/>
      <c r="E33" s="346">
        <f t="shared" ref="E33:N33" si="21">E32/E37</f>
        <v>0.1586372455523036</v>
      </c>
      <c r="F33" s="346">
        <f t="shared" si="21"/>
        <v>0.15406234031681146</v>
      </c>
      <c r="G33" s="346">
        <f t="shared" si="21"/>
        <v>0.14165736771010748</v>
      </c>
      <c r="H33" s="346">
        <f t="shared" si="21"/>
        <v>0.13816806422617753</v>
      </c>
      <c r="I33" s="346">
        <f t="shared" si="21"/>
        <v>0.13474661499415996</v>
      </c>
      <c r="J33" s="346">
        <f t="shared" si="21"/>
        <v>0.13139244364939337</v>
      </c>
      <c r="K33" s="346">
        <f t="shared" si="21"/>
        <v>0.12810494538125994</v>
      </c>
      <c r="L33" s="346">
        <f t="shared" si="21"/>
        <v>0.12488348858715179</v>
      </c>
      <c r="M33" s="346">
        <f t="shared" si="21"/>
        <v>0.12172741650343935</v>
      </c>
      <c r="N33" s="347">
        <f t="shared" si="21"/>
        <v>0.11863604881079072</v>
      </c>
    </row>
    <row r="34" spans="2:14" ht="13.8">
      <c r="B34" s="340" t="s">
        <v>216</v>
      </c>
      <c r="C34" s="345"/>
      <c r="D34" s="341"/>
      <c r="E34" s="362">
        <v>2610</v>
      </c>
      <c r="F34" s="362">
        <v>2688</v>
      </c>
      <c r="G34" s="362">
        <v>2770</v>
      </c>
      <c r="H34" s="363">
        <f>(G34)+H36*G34</f>
        <v>2854.5014880952381</v>
      </c>
      <c r="I34" s="363">
        <f t="shared" ref="I34:N34" si="22">(H34)+I36*H34</f>
        <v>2941.5807745624293</v>
      </c>
      <c r="J34" s="363">
        <f t="shared" si="22"/>
        <v>3031.3164975959558</v>
      </c>
      <c r="K34" s="363">
        <f t="shared" si="22"/>
        <v>3123.7896943232136</v>
      </c>
      <c r="L34" s="363">
        <f t="shared" si="22"/>
        <v>3219.0838739863475</v>
      </c>
      <c r="M34" s="363">
        <f t="shared" si="22"/>
        <v>3317.2850933564669</v>
      </c>
      <c r="N34" s="364">
        <f t="shared" si="22"/>
        <v>3418.4820344484424</v>
      </c>
    </row>
    <row r="35" spans="2:14" ht="13.8">
      <c r="B35" s="340"/>
      <c r="C35" s="345" t="s">
        <v>213</v>
      </c>
      <c r="D35" s="341"/>
      <c r="E35" s="346">
        <f>E34/E37</f>
        <v>8.5829853004044859E-2</v>
      </c>
      <c r="F35" s="346">
        <f>F34/F37</f>
        <v>8.5845682166581505E-2</v>
      </c>
      <c r="G35" s="346">
        <f>G34/G37</f>
        <v>8.1341398954601518E-2</v>
      </c>
      <c r="H35" s="346">
        <f t="shared" ref="H35:N35" si="23">H34/H37</f>
        <v>8.1758073163528636E-2</v>
      </c>
      <c r="I35" s="346">
        <f t="shared" si="23"/>
        <v>8.2165848280304002E-2</v>
      </c>
      <c r="J35" s="346">
        <f t="shared" si="23"/>
        <v>8.2564693634712499E-2</v>
      </c>
      <c r="K35" s="346">
        <f t="shared" si="23"/>
        <v>8.2954582954771552E-2</v>
      </c>
      <c r="L35" s="346">
        <f t="shared" si="23"/>
        <v>8.3335494245036973E-2</v>
      </c>
      <c r="M35" s="346">
        <f t="shared" si="23"/>
        <v>8.3707409664107238E-2</v>
      </c>
      <c r="N35" s="347">
        <f t="shared" si="23"/>
        <v>8.4070315401665957E-2</v>
      </c>
    </row>
    <row r="36" spans="2:14" ht="13.8">
      <c r="B36" s="340"/>
      <c r="C36" s="361" t="s">
        <v>222</v>
      </c>
      <c r="D36" s="341"/>
      <c r="E36" s="346"/>
      <c r="F36" s="346">
        <f>(F34-E34)/E34</f>
        <v>2.9885057471264367E-2</v>
      </c>
      <c r="G36" s="346">
        <f>(G34-F34)/F34</f>
        <v>3.050595238095238E-2</v>
      </c>
      <c r="H36" s="346">
        <f>G36</f>
        <v>3.050595238095238E-2</v>
      </c>
      <c r="I36" s="346">
        <f t="shared" ref="I36:N36" si="24">H36</f>
        <v>3.050595238095238E-2</v>
      </c>
      <c r="J36" s="346">
        <f t="shared" si="24"/>
        <v>3.050595238095238E-2</v>
      </c>
      <c r="K36" s="346">
        <f t="shared" si="24"/>
        <v>3.050595238095238E-2</v>
      </c>
      <c r="L36" s="346">
        <f t="shared" si="24"/>
        <v>3.050595238095238E-2</v>
      </c>
      <c r="M36" s="346">
        <f t="shared" si="24"/>
        <v>3.050595238095238E-2</v>
      </c>
      <c r="N36" s="347">
        <f t="shared" si="24"/>
        <v>3.050595238095238E-2</v>
      </c>
    </row>
    <row r="37" spans="2:14" ht="13.8">
      <c r="B37" s="348" t="s">
        <v>235</v>
      </c>
      <c r="C37" s="349"/>
      <c r="D37" s="349"/>
      <c r="E37" s="350">
        <f>E26+E29+E32+E34</f>
        <v>30409</v>
      </c>
      <c r="F37" s="350">
        <f t="shared" ref="F37:N37" si="25">F26+F29+F32+F34</f>
        <v>31312</v>
      </c>
      <c r="G37" s="350">
        <f t="shared" si="25"/>
        <v>34054</v>
      </c>
      <c r="H37" s="350">
        <f t="shared" si="25"/>
        <v>34914.001488095237</v>
      </c>
      <c r="I37" s="350">
        <f t="shared" si="25"/>
        <v>35800.528274562421</v>
      </c>
      <c r="J37" s="350">
        <f t="shared" si="25"/>
        <v>36714.440085095957</v>
      </c>
      <c r="K37" s="350">
        <f t="shared" si="25"/>
        <v>37656.625867510709</v>
      </c>
      <c r="L37" s="350">
        <f t="shared" si="25"/>
        <v>38628.004827343531</v>
      </c>
      <c r="M37" s="350">
        <f t="shared" si="25"/>
        <v>39629.52750142118</v>
      </c>
      <c r="N37" s="351">
        <f t="shared" si="25"/>
        <v>40662.176870823314</v>
      </c>
    </row>
    <row r="38" spans="2:14" ht="13.8">
      <c r="B38" s="352"/>
      <c r="C38" s="353" t="s">
        <v>92</v>
      </c>
      <c r="D38" s="353"/>
      <c r="E38" s="341"/>
      <c r="F38" s="346">
        <f>F37/E37-1</f>
        <v>2.9695156039330373E-2</v>
      </c>
      <c r="G38" s="346">
        <f>G37/F37-1</f>
        <v>8.7570260602963801E-2</v>
      </c>
      <c r="H38" s="346">
        <f t="shared" ref="H38:N38" si="26">H37/G37-1</f>
        <v>2.5254052037799957E-2</v>
      </c>
      <c r="I38" s="346">
        <f t="shared" si="26"/>
        <v>2.5391726776704981E-2</v>
      </c>
      <c r="J38" s="346">
        <f t="shared" si="26"/>
        <v>2.5527886167615588E-2</v>
      </c>
      <c r="K38" s="346">
        <f t="shared" si="26"/>
        <v>2.5662539867991274E-2</v>
      </c>
      <c r="L38" s="346">
        <f t="shared" si="26"/>
        <v>2.5795698298898939E-2</v>
      </c>
      <c r="M38" s="346">
        <f t="shared" si="26"/>
        <v>2.592737260322342E-2</v>
      </c>
      <c r="N38" s="347">
        <f t="shared" si="26"/>
        <v>2.6057574604317457E-2</v>
      </c>
    </row>
    <row r="39" spans="2:14" ht="13.8" hidden="1" outlineLevel="1">
      <c r="B39" s="340"/>
      <c r="C39" s="353" t="s">
        <v>218</v>
      </c>
      <c r="D39" s="353"/>
      <c r="E39" s="366">
        <f>E37/'Έσοδα από παραγωγή &amp; εμπορία'!D12</f>
        <v>0.59101687009251336</v>
      </c>
      <c r="F39" s="366">
        <f>F37/'Έσοδα από παραγωγή &amp; εμπορία'!E12</f>
        <v>0.59090394414040381</v>
      </c>
      <c r="G39" s="366">
        <f>G37/'Έσοδα από παραγωγή &amp; εμπορία'!F12</f>
        <v>0.5842268695637256</v>
      </c>
      <c r="H39" s="366">
        <f>H37/'Έσοδα από παραγωγή &amp; εμπορία'!G12</f>
        <v>0.58437167349226227</v>
      </c>
      <c r="I39" s="366">
        <f>I37/'Έσοδα από παραγωγή &amp; εμπορία'!H12</f>
        <v>0.58459500425524258</v>
      </c>
      <c r="J39" s="366">
        <f>J37/'Έσοδα από παραγωγή &amp; εμπορία'!I12</f>
        <v>0.58489607705173385</v>
      </c>
      <c r="K39" s="366">
        <f>K37/'Έσοδα από παραγωγή &amp; εμπορία'!J12</f>
        <v>0.58527414238800557</v>
      </c>
      <c r="L39" s="366">
        <f>L37/'Έσοδα από παραγωγή &amp; εμπορία'!K12</f>
        <v>0.58572848545092038</v>
      </c>
      <c r="M39" s="366">
        <f>M37/'Έσοδα από παραγωγή &amp; εμπορία'!L12</f>
        <v>0.58625842550002738</v>
      </c>
      <c r="N39" s="367">
        <f>N37/'Έσοδα από παραγωγή &amp; εμπορία'!M12</f>
        <v>0.58686331527795521</v>
      </c>
    </row>
    <row r="40" spans="2:14" ht="13.8" collapsed="1">
      <c r="B40" s="348" t="s">
        <v>217</v>
      </c>
      <c r="C40" s="349"/>
      <c r="D40" s="349"/>
      <c r="E40" s="350">
        <f>E37+E22</f>
        <v>55323</v>
      </c>
      <c r="F40" s="350">
        <f>F37+F22</f>
        <v>57136</v>
      </c>
      <c r="G40" s="350">
        <f>G37+G22</f>
        <v>63193</v>
      </c>
      <c r="H40" s="350">
        <f t="shared" ref="H40:N40" si="27">H37+H22</f>
        <v>64873.789373129868</v>
      </c>
      <c r="I40" s="350">
        <f t="shared" si="27"/>
        <v>66607.17680444548</v>
      </c>
      <c r="J40" s="350">
        <f t="shared" si="27"/>
        <v>68394.880329103791</v>
      </c>
      <c r="K40" s="350">
        <f t="shared" si="27"/>
        <v>70238.676448510771</v>
      </c>
      <c r="L40" s="350">
        <f t="shared" si="27"/>
        <v>72140.402194176611</v>
      </c>
      <c r="M40" s="350">
        <f t="shared" si="27"/>
        <v>74101.95726669766</v>
      </c>
      <c r="N40" s="351">
        <f t="shared" si="27"/>
        <v>76125.306252668146</v>
      </c>
    </row>
    <row r="41" spans="2:14" ht="14.4" thickBot="1">
      <c r="B41" s="370"/>
      <c r="C41" s="357" t="s">
        <v>92</v>
      </c>
      <c r="D41" s="371"/>
      <c r="E41" s="371"/>
      <c r="F41" s="372">
        <f>(F40-E40)/E40</f>
        <v>3.277118016015039E-2</v>
      </c>
      <c r="G41" s="372">
        <f t="shared" ref="G41:N41" si="28">(G40-F40)/F40</f>
        <v>0.10601022122654719</v>
      </c>
      <c r="H41" s="372">
        <f t="shared" si="28"/>
        <v>2.6597714511573563E-2</v>
      </c>
      <c r="I41" s="372">
        <f t="shared" si="28"/>
        <v>2.6719380015645659E-2</v>
      </c>
      <c r="J41" s="372">
        <f t="shared" si="28"/>
        <v>2.6839503044948101E-2</v>
      </c>
      <c r="K41" s="372">
        <f t="shared" si="28"/>
        <v>2.6958101403715688E-2</v>
      </c>
      <c r="L41" s="372">
        <f t="shared" si="28"/>
        <v>2.7075193352481829E-2</v>
      </c>
      <c r="M41" s="372">
        <f t="shared" si="28"/>
        <v>2.7190797567793312E-2</v>
      </c>
      <c r="N41" s="373">
        <f t="shared" si="28"/>
        <v>2.7304933103026202E-2</v>
      </c>
    </row>
    <row r="42" spans="2:14" ht="13.8" thickTop="1"/>
    <row r="48" spans="2:14">
      <c r="D48" s="60"/>
      <c r="E48" s="60"/>
    </row>
    <row r="49" spans="4:5">
      <c r="D49" s="60"/>
      <c r="E49" s="60"/>
    </row>
    <row r="50" spans="4:5">
      <c r="D50" s="60"/>
      <c r="E50" s="60"/>
    </row>
    <row r="51" spans="4:5">
      <c r="D51" s="60"/>
      <c r="E51" s="60"/>
    </row>
    <row r="52" spans="4:5">
      <c r="D52" s="60"/>
      <c r="E52" s="60"/>
    </row>
    <row r="53" spans="4:5">
      <c r="D53" s="60"/>
      <c r="E53" s="60"/>
    </row>
    <row r="54" spans="4:5">
      <c r="D54" s="60"/>
      <c r="E54" s="60"/>
    </row>
    <row r="55" spans="4:5">
      <c r="D55" s="60"/>
      <c r="E55" s="60"/>
    </row>
    <row r="56" spans="4:5">
      <c r="D56" s="60"/>
      <c r="E56" s="60"/>
    </row>
    <row r="57" spans="4:5">
      <c r="D57" s="60"/>
      <c r="E57" s="60"/>
    </row>
    <row r="58" spans="4:5">
      <c r="D58" s="60"/>
      <c r="E58" s="60"/>
    </row>
    <row r="59" spans="4:5">
      <c r="D59" s="60"/>
      <c r="E59" s="60"/>
    </row>
    <row r="60" spans="4:5">
      <c r="D60" s="60"/>
      <c r="E60" s="60"/>
    </row>
    <row r="61" spans="4:5">
      <c r="D61" s="60"/>
      <c r="E61" s="60"/>
    </row>
    <row r="62" spans="4:5">
      <c r="D62" s="60"/>
      <c r="E62" s="60"/>
    </row>
    <row r="63" spans="4:5">
      <c r="D63" s="60"/>
      <c r="E63" s="60"/>
    </row>
    <row r="64" spans="4:5">
      <c r="D64" s="60"/>
      <c r="E64" s="60"/>
    </row>
    <row r="65" spans="4:5">
      <c r="D65" s="60"/>
      <c r="E65" s="60"/>
    </row>
    <row r="66" spans="4:5">
      <c r="D66" s="60"/>
      <c r="E66" s="60"/>
    </row>
    <row r="67" spans="4:5">
      <c r="D67" s="60"/>
      <c r="E67" s="60"/>
    </row>
    <row r="68" spans="4:5">
      <c r="D68" s="60"/>
      <c r="E68" s="60"/>
    </row>
    <row r="69" spans="4:5">
      <c r="D69" s="60"/>
      <c r="E69" s="60"/>
    </row>
    <row r="70" spans="4:5">
      <c r="D70" s="60"/>
      <c r="E70" s="60"/>
    </row>
    <row r="71" spans="4:5">
      <c r="D71" s="60"/>
      <c r="E71" s="60"/>
    </row>
    <row r="72" spans="4:5">
      <c r="D72" s="60"/>
      <c r="E72" s="60"/>
    </row>
    <row r="73" spans="4:5">
      <c r="D73" s="60"/>
      <c r="E73" s="60"/>
    </row>
    <row r="74" spans="4:5">
      <c r="D74" s="60"/>
      <c r="E74" s="60"/>
    </row>
    <row r="75" spans="4:5">
      <c r="D75" s="60"/>
      <c r="E75" s="60"/>
    </row>
    <row r="76" spans="4:5">
      <c r="D76" s="60"/>
      <c r="E76" s="60"/>
    </row>
    <row r="77" spans="4:5">
      <c r="D77" s="60"/>
      <c r="E77" s="60"/>
    </row>
    <row r="78" spans="4:5">
      <c r="D78" s="60"/>
      <c r="E78" s="60"/>
    </row>
    <row r="79" spans="4:5">
      <c r="D79" s="60"/>
      <c r="E79" s="60"/>
    </row>
    <row r="80" spans="4:5">
      <c r="D80" s="60"/>
      <c r="E80" s="60"/>
    </row>
    <row r="81" spans="4:5">
      <c r="D81" s="60"/>
      <c r="E81" s="60"/>
    </row>
    <row r="82" spans="4:5">
      <c r="D82" s="60"/>
      <c r="E82" s="60"/>
    </row>
    <row r="83" spans="4:5">
      <c r="D83" s="60"/>
      <c r="E83" s="60"/>
    </row>
    <row r="84" spans="4:5">
      <c r="D84" s="60"/>
      <c r="E84" s="60"/>
    </row>
    <row r="85" spans="4:5">
      <c r="D85" s="60"/>
      <c r="E85" s="60"/>
    </row>
    <row r="86" spans="4:5">
      <c r="D86" s="60"/>
      <c r="E86" s="60"/>
    </row>
    <row r="87" spans="4:5">
      <c r="D87" s="60"/>
      <c r="E87" s="60"/>
    </row>
    <row r="88" spans="4:5">
      <c r="D88" s="60"/>
      <c r="E88" s="60"/>
    </row>
    <row r="89" spans="4:5">
      <c r="D89" s="60"/>
      <c r="E89" s="60"/>
    </row>
    <row r="90" spans="4:5">
      <c r="D90" s="60"/>
      <c r="E90" s="60"/>
    </row>
    <row r="91" spans="4:5">
      <c r="D91" s="60"/>
      <c r="E91" s="60"/>
    </row>
    <row r="92" spans="4:5">
      <c r="D92" s="60"/>
      <c r="E92" s="60"/>
    </row>
    <row r="93" spans="4:5">
      <c r="D93" s="60"/>
      <c r="E93" s="60"/>
    </row>
    <row r="94" spans="4:5">
      <c r="D94" s="60"/>
      <c r="E94" s="60"/>
    </row>
    <row r="95" spans="4:5">
      <c r="D95" s="60"/>
      <c r="E95" s="60"/>
    </row>
    <row r="96" spans="4:5">
      <c r="D96" s="60"/>
      <c r="E96" s="60"/>
    </row>
    <row r="97" spans="4:5">
      <c r="D97" s="60"/>
      <c r="E97" s="60"/>
    </row>
    <row r="98" spans="4:5">
      <c r="D98" s="60"/>
      <c r="E98" s="60"/>
    </row>
    <row r="99" spans="4:5">
      <c r="D99" s="60"/>
      <c r="E99" s="60"/>
    </row>
    <row r="100" spans="4:5">
      <c r="D100" s="60"/>
      <c r="E100" s="60"/>
    </row>
    <row r="101" spans="4:5">
      <c r="D101" s="60"/>
      <c r="E101" s="60"/>
    </row>
    <row r="102" spans="4:5">
      <c r="D102" s="60"/>
      <c r="E102" s="60"/>
    </row>
    <row r="103" spans="4:5">
      <c r="D103" s="60"/>
      <c r="E103" s="60"/>
    </row>
    <row r="104" spans="4:5">
      <c r="D104" s="60"/>
      <c r="E104" s="60"/>
    </row>
    <row r="105" spans="4:5">
      <c r="D105" s="60"/>
      <c r="E105" s="60"/>
    </row>
    <row r="106" spans="4:5">
      <c r="D106" s="60"/>
      <c r="E106" s="60"/>
    </row>
    <row r="107" spans="4:5">
      <c r="D107" s="60"/>
      <c r="E107" s="60"/>
    </row>
    <row r="108" spans="4:5">
      <c r="D108" s="60"/>
      <c r="E108" s="60"/>
    </row>
    <row r="109" spans="4:5">
      <c r="D109" s="60"/>
      <c r="E109" s="60"/>
    </row>
    <row r="110" spans="4:5">
      <c r="D110" s="60"/>
      <c r="E110" s="60"/>
    </row>
    <row r="111" spans="4:5">
      <c r="D111" s="60"/>
      <c r="E111" s="60"/>
    </row>
    <row r="112" spans="4:5">
      <c r="D112" s="60"/>
      <c r="E112" s="60"/>
    </row>
    <row r="113" spans="4:5">
      <c r="D113" s="60"/>
      <c r="E113" s="60"/>
    </row>
    <row r="114" spans="4:5">
      <c r="D114" s="60"/>
      <c r="E114" s="60"/>
    </row>
    <row r="115" spans="4:5">
      <c r="D115" s="60"/>
      <c r="E115" s="60"/>
    </row>
    <row r="116" spans="4:5">
      <c r="D116" s="60"/>
      <c r="E116" s="60"/>
    </row>
    <row r="117" spans="4:5">
      <c r="D117" s="60"/>
      <c r="E117" s="60"/>
    </row>
    <row r="118" spans="4:5">
      <c r="D118" s="60"/>
      <c r="E118" s="60"/>
    </row>
    <row r="119" spans="4:5">
      <c r="D119" s="60"/>
      <c r="E119" s="60"/>
    </row>
    <row r="120" spans="4:5">
      <c r="D120" s="60"/>
      <c r="E120" s="60"/>
    </row>
    <row r="121" spans="4:5">
      <c r="D121" s="60"/>
      <c r="E121" s="60"/>
    </row>
    <row r="122" spans="4:5">
      <c r="D122" s="60"/>
      <c r="E122" s="60"/>
    </row>
    <row r="123" spans="4:5">
      <c r="D123" s="60"/>
      <c r="E123" s="60"/>
    </row>
    <row r="124" spans="4:5">
      <c r="D124" s="60"/>
      <c r="E124" s="60"/>
    </row>
    <row r="125" spans="4:5">
      <c r="D125" s="60"/>
      <c r="E125" s="60"/>
    </row>
    <row r="126" spans="4:5">
      <c r="D126" s="60"/>
      <c r="E126" s="60"/>
    </row>
    <row r="127" spans="4:5">
      <c r="D127" s="60"/>
      <c r="E127" s="60"/>
    </row>
    <row r="128" spans="4:5">
      <c r="D128" s="60"/>
      <c r="E128" s="60"/>
    </row>
    <row r="129" spans="4:5">
      <c r="D129" s="60"/>
      <c r="E129" s="60"/>
    </row>
    <row r="130" spans="4:5">
      <c r="D130" s="60"/>
      <c r="E130" s="60"/>
    </row>
    <row r="131" spans="4:5">
      <c r="D131" s="60"/>
      <c r="E131" s="60"/>
    </row>
    <row r="132" spans="4:5">
      <c r="D132" s="60"/>
      <c r="E132" s="60"/>
    </row>
    <row r="133" spans="4:5">
      <c r="D133" s="60"/>
      <c r="E133" s="60"/>
    </row>
    <row r="134" spans="4:5">
      <c r="D134" s="60"/>
      <c r="E134" s="60"/>
    </row>
    <row r="135" spans="4:5">
      <c r="D135" s="60"/>
      <c r="E135" s="60"/>
    </row>
    <row r="136" spans="4:5">
      <c r="D136" s="60"/>
      <c r="E136" s="60"/>
    </row>
    <row r="137" spans="4:5">
      <c r="D137" s="60"/>
      <c r="E137" s="60"/>
    </row>
    <row r="138" spans="4:5">
      <c r="D138" s="60"/>
      <c r="E138" s="60"/>
    </row>
    <row r="139" spans="4:5">
      <c r="D139" s="60"/>
      <c r="E139" s="60"/>
    </row>
    <row r="140" spans="4:5">
      <c r="D140" s="60"/>
      <c r="E140" s="60"/>
    </row>
    <row r="141" spans="4:5">
      <c r="D141" s="60"/>
      <c r="E141" s="60"/>
    </row>
    <row r="142" spans="4:5">
      <c r="D142" s="60"/>
      <c r="E142" s="60"/>
    </row>
    <row r="143" spans="4:5">
      <c r="D143" s="60"/>
      <c r="E143" s="60"/>
    </row>
    <row r="144" spans="4:5">
      <c r="D144" s="60"/>
      <c r="E144" s="60"/>
    </row>
    <row r="145" spans="4:5">
      <c r="D145" s="60"/>
      <c r="E145" s="60"/>
    </row>
    <row r="146" spans="4:5">
      <c r="D146" s="60"/>
      <c r="E146" s="60"/>
    </row>
    <row r="147" spans="4:5">
      <c r="D147" s="60"/>
      <c r="E147" s="60"/>
    </row>
    <row r="148" spans="4:5">
      <c r="D148" s="60"/>
      <c r="E148" s="60"/>
    </row>
    <row r="149" spans="4:5">
      <c r="D149" s="60"/>
      <c r="E149" s="60"/>
    </row>
    <row r="150" spans="4:5">
      <c r="D150" s="60"/>
      <c r="E150" s="60"/>
    </row>
    <row r="151" spans="4:5">
      <c r="D151" s="60"/>
      <c r="E151" s="60"/>
    </row>
    <row r="152" spans="4:5">
      <c r="D152" s="60"/>
      <c r="E152" s="60"/>
    </row>
    <row r="153" spans="4:5">
      <c r="D153" s="60"/>
      <c r="E153" s="60"/>
    </row>
    <row r="154" spans="4:5">
      <c r="D154" s="60"/>
      <c r="E154" s="60"/>
    </row>
    <row r="155" spans="4:5">
      <c r="D155" s="60"/>
      <c r="E155" s="60"/>
    </row>
    <row r="156" spans="4:5">
      <c r="D156" s="60"/>
      <c r="E156" s="60"/>
    </row>
    <row r="157" spans="4:5">
      <c r="D157" s="60"/>
      <c r="E157" s="60"/>
    </row>
    <row r="158" spans="4:5">
      <c r="D158" s="60"/>
      <c r="E158" s="60"/>
    </row>
    <row r="159" spans="4:5">
      <c r="D159" s="60"/>
      <c r="E159" s="60"/>
    </row>
    <row r="160" spans="4:5">
      <c r="D160" s="60"/>
      <c r="E160" s="60"/>
    </row>
    <row r="161" spans="4:5">
      <c r="D161" s="60"/>
      <c r="E161" s="60"/>
    </row>
    <row r="162" spans="4:5">
      <c r="D162" s="60"/>
      <c r="E162" s="60"/>
    </row>
    <row r="163" spans="4:5">
      <c r="D163" s="60"/>
      <c r="E163" s="60"/>
    </row>
    <row r="164" spans="4:5">
      <c r="D164" s="60"/>
      <c r="E164" s="60"/>
    </row>
    <row r="165" spans="4:5">
      <c r="D165" s="60"/>
      <c r="E165" s="60"/>
    </row>
    <row r="166" spans="4:5">
      <c r="D166" s="60"/>
      <c r="E166" s="60"/>
    </row>
    <row r="167" spans="4:5">
      <c r="D167" s="60"/>
      <c r="E167" s="60"/>
    </row>
    <row r="168" spans="4:5">
      <c r="D168" s="60"/>
      <c r="E168" s="60"/>
    </row>
    <row r="169" spans="4:5">
      <c r="D169" s="60"/>
      <c r="E169" s="60"/>
    </row>
    <row r="170" spans="4:5">
      <c r="D170" s="60"/>
      <c r="E170" s="60"/>
    </row>
    <row r="171" spans="4:5">
      <c r="D171" s="60"/>
      <c r="E171" s="60"/>
    </row>
    <row r="172" spans="4:5">
      <c r="D172" s="60"/>
      <c r="E172" s="60"/>
    </row>
    <row r="173" spans="4:5">
      <c r="D173" s="60"/>
      <c r="E173" s="60"/>
    </row>
    <row r="174" spans="4:5">
      <c r="D174" s="60"/>
      <c r="E174" s="60"/>
    </row>
    <row r="175" spans="4:5">
      <c r="D175" s="60"/>
      <c r="E175" s="60"/>
    </row>
    <row r="176" spans="4:5">
      <c r="D176" s="60"/>
      <c r="E176" s="60"/>
    </row>
    <row r="177" spans="4:5">
      <c r="D177" s="60"/>
      <c r="E177" s="60"/>
    </row>
    <row r="178" spans="4:5">
      <c r="D178" s="60"/>
      <c r="E178" s="60"/>
    </row>
    <row r="179" spans="4:5">
      <c r="D179" s="60"/>
      <c r="E179" s="60"/>
    </row>
    <row r="180" spans="4:5">
      <c r="D180" s="60"/>
      <c r="E180" s="60"/>
    </row>
    <row r="181" spans="4:5">
      <c r="D181" s="60"/>
      <c r="E181" s="60"/>
    </row>
    <row r="182" spans="4:5">
      <c r="D182" s="60"/>
      <c r="E182" s="60"/>
    </row>
    <row r="183" spans="4:5">
      <c r="D183" s="60"/>
      <c r="E183" s="60"/>
    </row>
    <row r="184" spans="4:5">
      <c r="D184" s="60"/>
      <c r="E184" s="60"/>
    </row>
    <row r="185" spans="4:5">
      <c r="D185" s="60"/>
      <c r="E185" s="60"/>
    </row>
    <row r="186" spans="4:5">
      <c r="D186" s="60"/>
      <c r="E186" s="60"/>
    </row>
    <row r="187" spans="4:5">
      <c r="D187" s="60"/>
      <c r="E187" s="60"/>
    </row>
    <row r="188" spans="4:5">
      <c r="D188" s="60"/>
      <c r="E188" s="60"/>
    </row>
    <row r="189" spans="4:5">
      <c r="D189" s="60"/>
      <c r="E189" s="60"/>
    </row>
    <row r="190" spans="4:5">
      <c r="D190" s="60"/>
      <c r="E190" s="60"/>
    </row>
    <row r="191" spans="4:5">
      <c r="D191" s="60"/>
      <c r="E191" s="60"/>
    </row>
    <row r="192" spans="4:5">
      <c r="D192" s="60"/>
      <c r="E192" s="60"/>
    </row>
    <row r="193" spans="4:5">
      <c r="D193" s="60"/>
      <c r="E193" s="60"/>
    </row>
    <row r="194" spans="4:5">
      <c r="D194" s="60"/>
      <c r="E194" s="60"/>
    </row>
    <row r="195" spans="4:5">
      <c r="D195" s="60"/>
      <c r="E195" s="60"/>
    </row>
    <row r="196" spans="4:5">
      <c r="D196" s="60"/>
      <c r="E196" s="60"/>
    </row>
    <row r="197" spans="4:5">
      <c r="D197" s="60"/>
      <c r="E197" s="60"/>
    </row>
    <row r="198" spans="4:5">
      <c r="D198" s="60"/>
      <c r="E198" s="60"/>
    </row>
    <row r="199" spans="4:5">
      <c r="D199" s="60"/>
      <c r="E199" s="60"/>
    </row>
    <row r="200" spans="4:5">
      <c r="D200" s="60"/>
      <c r="E200" s="60"/>
    </row>
    <row r="201" spans="4:5">
      <c r="D201" s="60"/>
      <c r="E201" s="60"/>
    </row>
    <row r="202" spans="4:5">
      <c r="D202" s="60"/>
      <c r="E202" s="60"/>
    </row>
    <row r="203" spans="4:5">
      <c r="D203" s="60"/>
      <c r="E203" s="60"/>
    </row>
    <row r="204" spans="4:5">
      <c r="D204" s="60"/>
      <c r="E204" s="60"/>
    </row>
    <row r="205" spans="4:5">
      <c r="D205" s="60"/>
      <c r="E205" s="60"/>
    </row>
    <row r="206" spans="4:5">
      <c r="D206" s="60"/>
      <c r="E206" s="60"/>
    </row>
    <row r="207" spans="4:5">
      <c r="D207" s="60"/>
      <c r="E207" s="60"/>
    </row>
    <row r="208" spans="4:5">
      <c r="D208" s="60"/>
      <c r="E208" s="60"/>
    </row>
    <row r="209" spans="4:5">
      <c r="D209" s="60"/>
      <c r="E209" s="60"/>
    </row>
    <row r="210" spans="4:5">
      <c r="D210" s="60"/>
      <c r="E210" s="60"/>
    </row>
    <row r="211" spans="4:5">
      <c r="D211" s="60"/>
      <c r="E211" s="60"/>
    </row>
    <row r="212" spans="4:5">
      <c r="D212" s="60"/>
      <c r="E212" s="60"/>
    </row>
    <row r="213" spans="4:5">
      <c r="D213" s="60"/>
      <c r="E213" s="60"/>
    </row>
    <row r="214" spans="4:5">
      <c r="D214" s="60"/>
      <c r="E214" s="60"/>
    </row>
    <row r="215" spans="4:5">
      <c r="D215" s="60"/>
      <c r="E215" s="60"/>
    </row>
    <row r="216" spans="4:5">
      <c r="D216" s="60"/>
      <c r="E216" s="60"/>
    </row>
    <row r="217" spans="4:5">
      <c r="D217" s="60"/>
      <c r="E217" s="60"/>
    </row>
    <row r="218" spans="4:5">
      <c r="D218" s="60"/>
      <c r="E218" s="60"/>
    </row>
    <row r="219" spans="4:5">
      <c r="D219" s="60"/>
      <c r="E219" s="60"/>
    </row>
    <row r="220" spans="4:5">
      <c r="D220" s="60"/>
      <c r="E220" s="60"/>
    </row>
    <row r="221" spans="4:5">
      <c r="D221" s="60"/>
      <c r="E221" s="60"/>
    </row>
    <row r="222" spans="4:5">
      <c r="D222" s="60"/>
      <c r="E222" s="60"/>
    </row>
    <row r="223" spans="4:5">
      <c r="D223" s="60"/>
      <c r="E223" s="60"/>
    </row>
    <row r="224" spans="4:5">
      <c r="D224" s="60"/>
      <c r="E224" s="60"/>
    </row>
    <row r="225" spans="4:5">
      <c r="D225" s="60"/>
      <c r="E225" s="60"/>
    </row>
    <row r="226" spans="4:5">
      <c r="D226" s="60"/>
      <c r="E226" s="60"/>
    </row>
    <row r="227" spans="4:5">
      <c r="D227" s="60"/>
      <c r="E227" s="60"/>
    </row>
    <row r="228" spans="4:5">
      <c r="D228" s="60"/>
      <c r="E228" s="60"/>
    </row>
    <row r="229" spans="4:5">
      <c r="D229" s="60"/>
      <c r="E229" s="60"/>
    </row>
    <row r="230" spans="4:5">
      <c r="D230" s="60"/>
      <c r="E230" s="60"/>
    </row>
    <row r="231" spans="4:5">
      <c r="D231" s="60"/>
      <c r="E231" s="60"/>
    </row>
    <row r="232" spans="4:5">
      <c r="D232" s="60"/>
      <c r="E232" s="60"/>
    </row>
    <row r="233" spans="4:5">
      <c r="D233" s="60"/>
      <c r="E233" s="60"/>
    </row>
    <row r="234" spans="4:5">
      <c r="D234" s="60"/>
      <c r="E234" s="60"/>
    </row>
    <row r="235" spans="4:5">
      <c r="D235" s="60"/>
      <c r="E235" s="60"/>
    </row>
    <row r="236" spans="4:5">
      <c r="D236" s="60"/>
      <c r="E236" s="60"/>
    </row>
    <row r="237" spans="4:5">
      <c r="D237" s="60"/>
      <c r="E237" s="60"/>
    </row>
    <row r="238" spans="4:5">
      <c r="D238" s="60"/>
      <c r="E238" s="60"/>
    </row>
    <row r="239" spans="4:5">
      <c r="D239" s="60"/>
      <c r="E239" s="60"/>
    </row>
    <row r="240" spans="4:5">
      <c r="D240" s="60"/>
      <c r="E240" s="60"/>
    </row>
    <row r="241" spans="4:5">
      <c r="D241" s="60"/>
      <c r="E241" s="60"/>
    </row>
    <row r="242" spans="4:5">
      <c r="D242" s="60"/>
      <c r="E242" s="60"/>
    </row>
    <row r="243" spans="4:5">
      <c r="D243" s="60"/>
      <c r="E243" s="60"/>
    </row>
    <row r="244" spans="4:5">
      <c r="D244" s="60"/>
      <c r="E244" s="60"/>
    </row>
    <row r="245" spans="4:5">
      <c r="D245" s="60"/>
      <c r="E245" s="60"/>
    </row>
    <row r="246" spans="4:5">
      <c r="D246" s="60"/>
      <c r="E246" s="60"/>
    </row>
    <row r="247" spans="4:5">
      <c r="D247" s="60"/>
      <c r="E247" s="60"/>
    </row>
    <row r="248" spans="4:5">
      <c r="D248" s="60"/>
      <c r="E248" s="60"/>
    </row>
    <row r="249" spans="4:5">
      <c r="D249" s="60"/>
      <c r="E249" s="60"/>
    </row>
    <row r="250" spans="4:5">
      <c r="D250" s="60"/>
      <c r="E250" s="60"/>
    </row>
    <row r="251" spans="4:5">
      <c r="D251" s="60"/>
      <c r="E251" s="60"/>
    </row>
    <row r="252" spans="4:5">
      <c r="D252" s="60"/>
      <c r="E252" s="60"/>
    </row>
    <row r="253" spans="4:5">
      <c r="D253" s="60"/>
      <c r="E253" s="60"/>
    </row>
    <row r="254" spans="4:5">
      <c r="D254" s="60"/>
      <c r="E254" s="60"/>
    </row>
    <row r="255" spans="4:5">
      <c r="D255" s="60"/>
      <c r="E255" s="60"/>
    </row>
    <row r="256" spans="4:5">
      <c r="D256" s="60"/>
      <c r="E256" s="60"/>
    </row>
    <row r="257" spans="4:5">
      <c r="D257" s="60"/>
      <c r="E257" s="60"/>
    </row>
    <row r="258" spans="4:5">
      <c r="D258" s="60"/>
      <c r="E258" s="60"/>
    </row>
    <row r="259" spans="4:5">
      <c r="D259" s="60"/>
      <c r="E259" s="60"/>
    </row>
    <row r="260" spans="4:5">
      <c r="D260" s="60"/>
      <c r="E260" s="60"/>
    </row>
    <row r="261" spans="4:5">
      <c r="D261" s="60"/>
      <c r="E261" s="60"/>
    </row>
    <row r="262" spans="4:5">
      <c r="D262" s="60"/>
      <c r="E262" s="60"/>
    </row>
    <row r="263" spans="4:5">
      <c r="D263" s="60"/>
      <c r="E263" s="60"/>
    </row>
    <row r="264" spans="4:5">
      <c r="D264" s="60"/>
      <c r="E264" s="60"/>
    </row>
    <row r="265" spans="4:5">
      <c r="D265" s="60"/>
      <c r="E265" s="60"/>
    </row>
    <row r="266" spans="4:5">
      <c r="D266" s="60"/>
      <c r="E266" s="60"/>
    </row>
    <row r="267" spans="4:5">
      <c r="D267" s="60"/>
      <c r="E267" s="60"/>
    </row>
    <row r="268" spans="4:5">
      <c r="D268" s="60"/>
      <c r="E268" s="60"/>
    </row>
    <row r="269" spans="4:5">
      <c r="D269" s="60"/>
      <c r="E269" s="60"/>
    </row>
    <row r="270" spans="4:5">
      <c r="D270" s="60"/>
      <c r="E270" s="60"/>
    </row>
    <row r="271" spans="4:5">
      <c r="D271" s="60"/>
      <c r="E271" s="60"/>
    </row>
    <row r="272" spans="4:5">
      <c r="D272" s="60"/>
      <c r="E272" s="60"/>
    </row>
    <row r="273" spans="4:5">
      <c r="D273" s="60"/>
      <c r="E273" s="60"/>
    </row>
    <row r="274" spans="4:5">
      <c r="D274" s="60"/>
      <c r="E274" s="60"/>
    </row>
    <row r="275" spans="4:5">
      <c r="D275" s="60"/>
      <c r="E275" s="60"/>
    </row>
    <row r="276" spans="4:5">
      <c r="D276" s="60"/>
      <c r="E276" s="60"/>
    </row>
    <row r="277" spans="4:5">
      <c r="D277" s="60"/>
      <c r="E277" s="60"/>
    </row>
    <row r="278" spans="4:5">
      <c r="D278" s="60"/>
      <c r="E278" s="60"/>
    </row>
    <row r="279" spans="4:5">
      <c r="D279" s="60"/>
      <c r="E279" s="60"/>
    </row>
    <row r="280" spans="4:5">
      <c r="D280" s="60"/>
      <c r="E280" s="60"/>
    </row>
    <row r="281" spans="4:5">
      <c r="D281" s="60"/>
      <c r="E281" s="60"/>
    </row>
    <row r="282" spans="4:5">
      <c r="D282" s="60"/>
      <c r="E282" s="60"/>
    </row>
    <row r="283" spans="4:5">
      <c r="D283" s="60"/>
      <c r="E283" s="60"/>
    </row>
    <row r="284" spans="4:5">
      <c r="D284" s="60"/>
      <c r="E284" s="60"/>
    </row>
    <row r="285" spans="4:5">
      <c r="D285" s="60"/>
      <c r="E285" s="60"/>
    </row>
    <row r="286" spans="4:5">
      <c r="D286" s="60"/>
      <c r="E286" s="60"/>
    </row>
    <row r="287" spans="4:5">
      <c r="D287" s="60"/>
      <c r="E287" s="60"/>
    </row>
    <row r="288" spans="4:5">
      <c r="D288" s="60"/>
      <c r="E288" s="60"/>
    </row>
    <row r="289" spans="4:5">
      <c r="D289" s="60"/>
      <c r="E289" s="60"/>
    </row>
    <row r="290" spans="4:5">
      <c r="D290" s="60"/>
      <c r="E290" s="60"/>
    </row>
    <row r="291" spans="4:5">
      <c r="D291" s="60"/>
      <c r="E291" s="60"/>
    </row>
    <row r="292" spans="4:5">
      <c r="D292" s="60"/>
      <c r="E292" s="60"/>
    </row>
    <row r="293" spans="4:5">
      <c r="D293" s="60"/>
      <c r="E293" s="60"/>
    </row>
    <row r="294" spans="4:5">
      <c r="D294" s="60"/>
      <c r="E294" s="60"/>
    </row>
    <row r="295" spans="4:5">
      <c r="D295" s="60"/>
      <c r="E295" s="60"/>
    </row>
    <row r="296" spans="4:5">
      <c r="D296" s="60"/>
      <c r="E296" s="60"/>
    </row>
    <row r="297" spans="4:5">
      <c r="D297" s="60"/>
      <c r="E297" s="60"/>
    </row>
    <row r="298" spans="4:5">
      <c r="D298" s="60"/>
      <c r="E298" s="60"/>
    </row>
    <row r="299" spans="4:5">
      <c r="D299" s="60"/>
      <c r="E299" s="60"/>
    </row>
    <row r="300" spans="4:5">
      <c r="D300" s="60"/>
      <c r="E300" s="60"/>
    </row>
    <row r="301" spans="4:5">
      <c r="D301" s="60"/>
      <c r="E301" s="60"/>
    </row>
    <row r="302" spans="4:5">
      <c r="D302" s="60"/>
      <c r="E302" s="60"/>
    </row>
    <row r="303" spans="4:5">
      <c r="D303" s="60"/>
      <c r="E303" s="60"/>
    </row>
    <row r="304" spans="4:5">
      <c r="D304" s="60"/>
      <c r="E304" s="60"/>
    </row>
    <row r="305" spans="4:5">
      <c r="D305" s="60"/>
      <c r="E305" s="60"/>
    </row>
    <row r="306" spans="4:5">
      <c r="D306" s="60"/>
      <c r="E306" s="60"/>
    </row>
    <row r="307" spans="4:5">
      <c r="D307" s="60"/>
      <c r="E307" s="60"/>
    </row>
    <row r="308" spans="4:5">
      <c r="D308" s="60"/>
      <c r="E308" s="60"/>
    </row>
    <row r="309" spans="4:5">
      <c r="D309" s="60"/>
      <c r="E309" s="60"/>
    </row>
    <row r="310" spans="4:5">
      <c r="D310" s="60"/>
      <c r="E310" s="60"/>
    </row>
    <row r="311" spans="4:5">
      <c r="D311" s="60"/>
      <c r="E311" s="60"/>
    </row>
    <row r="312" spans="4:5">
      <c r="D312" s="60"/>
      <c r="E312" s="60"/>
    </row>
    <row r="313" spans="4:5">
      <c r="D313" s="60"/>
      <c r="E313" s="60"/>
    </row>
    <row r="314" spans="4:5">
      <c r="D314" s="60"/>
      <c r="E314" s="60"/>
    </row>
    <row r="315" spans="4:5">
      <c r="D315" s="60"/>
      <c r="E315" s="60"/>
    </row>
    <row r="316" spans="4:5">
      <c r="D316" s="60"/>
      <c r="E316" s="60"/>
    </row>
    <row r="317" spans="4:5">
      <c r="D317" s="60"/>
      <c r="E317" s="60"/>
    </row>
    <row r="318" spans="4:5">
      <c r="D318" s="60"/>
      <c r="E318" s="60"/>
    </row>
    <row r="319" spans="4:5">
      <c r="D319" s="60"/>
      <c r="E319" s="60"/>
    </row>
    <row r="320" spans="4:5">
      <c r="D320" s="60"/>
      <c r="E320" s="60"/>
    </row>
    <row r="321" spans="4:5">
      <c r="D321" s="60"/>
      <c r="E321" s="60"/>
    </row>
    <row r="322" spans="4:5">
      <c r="D322" s="60"/>
      <c r="E322" s="60"/>
    </row>
    <row r="323" spans="4:5">
      <c r="D323" s="60"/>
      <c r="E323" s="60"/>
    </row>
    <row r="324" spans="4:5">
      <c r="D324" s="60"/>
      <c r="E324" s="60"/>
    </row>
    <row r="325" spans="4:5">
      <c r="D325" s="60"/>
      <c r="E325" s="60"/>
    </row>
    <row r="326" spans="4:5">
      <c r="D326" s="60"/>
      <c r="E326" s="60"/>
    </row>
    <row r="327" spans="4:5">
      <c r="D327" s="60"/>
      <c r="E327" s="60"/>
    </row>
    <row r="328" spans="4:5">
      <c r="D328" s="60"/>
      <c r="E328" s="60"/>
    </row>
    <row r="329" spans="4:5">
      <c r="D329" s="60"/>
      <c r="E329" s="60"/>
    </row>
    <row r="330" spans="4:5">
      <c r="D330" s="60"/>
      <c r="E330" s="60"/>
    </row>
    <row r="331" spans="4:5">
      <c r="D331" s="60"/>
      <c r="E331" s="60"/>
    </row>
    <row r="332" spans="4:5">
      <c r="D332" s="60"/>
      <c r="E332" s="60"/>
    </row>
    <row r="333" spans="4:5">
      <c r="D333" s="60"/>
      <c r="E333" s="60"/>
    </row>
    <row r="334" spans="4:5">
      <c r="D334" s="60"/>
      <c r="E334" s="60"/>
    </row>
    <row r="335" spans="4:5">
      <c r="D335" s="60"/>
      <c r="E335" s="60"/>
    </row>
    <row r="336" spans="4:5">
      <c r="D336" s="60"/>
      <c r="E336" s="60"/>
    </row>
    <row r="337" spans="4:5">
      <c r="D337" s="60"/>
      <c r="E337" s="60"/>
    </row>
    <row r="338" spans="4:5">
      <c r="D338" s="60"/>
      <c r="E338" s="60"/>
    </row>
    <row r="339" spans="4:5">
      <c r="D339" s="60"/>
      <c r="E339" s="60"/>
    </row>
    <row r="340" spans="4:5">
      <c r="D340" s="60"/>
      <c r="E340" s="60"/>
    </row>
    <row r="341" spans="4:5">
      <c r="D341" s="60"/>
      <c r="E341" s="60"/>
    </row>
    <row r="342" spans="4:5">
      <c r="D342" s="60"/>
      <c r="E342" s="60"/>
    </row>
    <row r="343" spans="4:5">
      <c r="D343" s="60"/>
      <c r="E343" s="60"/>
    </row>
    <row r="344" spans="4:5">
      <c r="D344" s="60"/>
      <c r="E344" s="60"/>
    </row>
    <row r="345" spans="4:5">
      <c r="D345" s="60"/>
      <c r="E345" s="60"/>
    </row>
    <row r="346" spans="4:5">
      <c r="D346" s="60"/>
      <c r="E346" s="60"/>
    </row>
    <row r="347" spans="4:5">
      <c r="D347" s="60"/>
      <c r="E347" s="60"/>
    </row>
    <row r="348" spans="4:5">
      <c r="D348" s="60"/>
      <c r="E348" s="60"/>
    </row>
    <row r="349" spans="4:5">
      <c r="D349" s="60"/>
      <c r="E349" s="60"/>
    </row>
    <row r="350" spans="4:5">
      <c r="D350" s="60"/>
      <c r="E350" s="60"/>
    </row>
    <row r="351" spans="4:5">
      <c r="D351" s="60"/>
      <c r="E351" s="60"/>
    </row>
    <row r="352" spans="4:5">
      <c r="D352" s="60"/>
      <c r="E352" s="60"/>
    </row>
    <row r="353" spans="4:5">
      <c r="D353" s="60"/>
      <c r="E353" s="60"/>
    </row>
    <row r="354" spans="4:5">
      <c r="D354" s="60"/>
      <c r="E354" s="60"/>
    </row>
    <row r="355" spans="4:5">
      <c r="D355" s="60"/>
      <c r="E355" s="60"/>
    </row>
    <row r="356" spans="4:5">
      <c r="D356" s="60"/>
      <c r="E356" s="60"/>
    </row>
    <row r="357" spans="4:5">
      <c r="D357" s="60"/>
      <c r="E357" s="60"/>
    </row>
    <row r="358" spans="4:5">
      <c r="D358" s="60"/>
      <c r="E358" s="60"/>
    </row>
    <row r="359" spans="4:5">
      <c r="D359" s="60"/>
      <c r="E359" s="60"/>
    </row>
    <row r="360" spans="4:5">
      <c r="D360" s="60"/>
      <c r="E360" s="60"/>
    </row>
    <row r="361" spans="4:5">
      <c r="D361" s="60"/>
      <c r="E361" s="60"/>
    </row>
    <row r="362" spans="4:5">
      <c r="D362" s="60"/>
      <c r="E362" s="60"/>
    </row>
    <row r="363" spans="4:5">
      <c r="D363" s="60"/>
      <c r="E363" s="60"/>
    </row>
    <row r="364" spans="4:5">
      <c r="D364" s="60"/>
      <c r="E364" s="60"/>
    </row>
    <row r="365" spans="4:5">
      <c r="D365" s="60"/>
      <c r="E365" s="60"/>
    </row>
    <row r="366" spans="4:5">
      <c r="D366" s="60"/>
      <c r="E366" s="60"/>
    </row>
    <row r="367" spans="4:5">
      <c r="D367" s="60"/>
      <c r="E367" s="60"/>
    </row>
    <row r="368" spans="4:5">
      <c r="D368" s="60"/>
      <c r="E368" s="60"/>
    </row>
    <row r="369" spans="4:5">
      <c r="D369" s="60"/>
      <c r="E369" s="60"/>
    </row>
    <row r="370" spans="4:5">
      <c r="D370" s="60"/>
      <c r="E370" s="60"/>
    </row>
    <row r="371" spans="4:5">
      <c r="D371" s="60"/>
      <c r="E371" s="60"/>
    </row>
    <row r="372" spans="4:5">
      <c r="D372" s="60"/>
      <c r="E372" s="60"/>
    </row>
    <row r="373" spans="4:5">
      <c r="D373" s="60"/>
      <c r="E373" s="60"/>
    </row>
    <row r="374" spans="4:5">
      <c r="D374" s="60"/>
      <c r="E374" s="60"/>
    </row>
    <row r="375" spans="4:5">
      <c r="D375" s="60"/>
      <c r="E375" s="60"/>
    </row>
    <row r="376" spans="4:5">
      <c r="D376" s="60"/>
      <c r="E376" s="60"/>
    </row>
    <row r="377" spans="4:5">
      <c r="D377" s="60"/>
      <c r="E377" s="60"/>
    </row>
    <row r="378" spans="4:5">
      <c r="D378" s="60"/>
      <c r="E378" s="60"/>
    </row>
    <row r="379" spans="4:5">
      <c r="D379" s="60"/>
      <c r="E379" s="60"/>
    </row>
    <row r="380" spans="4:5">
      <c r="D380" s="60"/>
      <c r="E380" s="60"/>
    </row>
    <row r="381" spans="4:5">
      <c r="D381" s="60"/>
      <c r="E381" s="60"/>
    </row>
    <row r="382" spans="4:5">
      <c r="D382" s="60"/>
      <c r="E382" s="60"/>
    </row>
    <row r="383" spans="4:5">
      <c r="D383" s="60"/>
      <c r="E383" s="60"/>
    </row>
    <row r="384" spans="4:5">
      <c r="D384" s="60"/>
      <c r="E384" s="60"/>
    </row>
    <row r="385" spans="4:5">
      <c r="D385" s="60"/>
      <c r="E385" s="60"/>
    </row>
    <row r="386" spans="4:5">
      <c r="D386" s="60"/>
      <c r="E386" s="60"/>
    </row>
    <row r="387" spans="4:5">
      <c r="D387" s="60"/>
      <c r="E387" s="60"/>
    </row>
    <row r="388" spans="4:5">
      <c r="D388" s="60"/>
      <c r="E388" s="60"/>
    </row>
    <row r="389" spans="4:5">
      <c r="D389" s="60"/>
      <c r="E389" s="60"/>
    </row>
    <row r="390" spans="4:5">
      <c r="D390" s="60"/>
      <c r="E390" s="60"/>
    </row>
    <row r="391" spans="4:5">
      <c r="D391" s="60"/>
      <c r="E391" s="60"/>
    </row>
    <row r="392" spans="4:5">
      <c r="D392" s="60"/>
      <c r="E392" s="60"/>
    </row>
    <row r="393" spans="4:5">
      <c r="D393" s="60"/>
      <c r="E393" s="60"/>
    </row>
    <row r="394" spans="4:5">
      <c r="D394" s="60"/>
      <c r="E394" s="60"/>
    </row>
    <row r="395" spans="4:5">
      <c r="D395" s="60"/>
      <c r="E395" s="60"/>
    </row>
    <row r="396" spans="4:5">
      <c r="D396" s="60"/>
      <c r="E396" s="60"/>
    </row>
    <row r="397" spans="4:5">
      <c r="D397" s="60"/>
      <c r="E397" s="60"/>
    </row>
    <row r="398" spans="4:5">
      <c r="D398" s="60"/>
      <c r="E398" s="60"/>
    </row>
    <row r="399" spans="4:5">
      <c r="D399" s="60"/>
      <c r="E399" s="60"/>
    </row>
    <row r="400" spans="4:5">
      <c r="D400" s="60"/>
      <c r="E400" s="60"/>
    </row>
    <row r="401" spans="4:5">
      <c r="D401" s="60"/>
      <c r="E401" s="60"/>
    </row>
    <row r="402" spans="4:5">
      <c r="D402" s="60"/>
      <c r="E402" s="60"/>
    </row>
    <row r="403" spans="4:5">
      <c r="D403" s="60"/>
      <c r="E403" s="60"/>
    </row>
    <row r="404" spans="4:5">
      <c r="D404" s="60"/>
      <c r="E404" s="60"/>
    </row>
    <row r="405" spans="4:5">
      <c r="D405" s="60"/>
      <c r="E405" s="60"/>
    </row>
    <row r="406" spans="4:5">
      <c r="D406" s="60"/>
      <c r="E406" s="60"/>
    </row>
    <row r="407" spans="4:5">
      <c r="D407" s="60"/>
      <c r="E407" s="60"/>
    </row>
    <row r="408" spans="4:5">
      <c r="D408" s="60"/>
      <c r="E408" s="60"/>
    </row>
    <row r="409" spans="4:5">
      <c r="D409" s="60"/>
      <c r="E409" s="60"/>
    </row>
    <row r="410" spans="4:5">
      <c r="D410" s="60"/>
      <c r="E410" s="60"/>
    </row>
    <row r="411" spans="4:5">
      <c r="D411" s="60"/>
      <c r="E411" s="60"/>
    </row>
    <row r="412" spans="4:5">
      <c r="D412" s="60"/>
      <c r="E412" s="60"/>
    </row>
    <row r="413" spans="4:5">
      <c r="D413" s="60"/>
      <c r="E413" s="60"/>
    </row>
    <row r="414" spans="4:5">
      <c r="D414" s="60"/>
      <c r="E414" s="60"/>
    </row>
    <row r="415" spans="4:5">
      <c r="D415" s="60"/>
      <c r="E415" s="60"/>
    </row>
    <row r="416" spans="4:5">
      <c r="D416" s="60"/>
      <c r="E416" s="60"/>
    </row>
    <row r="417" spans="4:5">
      <c r="D417" s="60"/>
      <c r="E417" s="60"/>
    </row>
    <row r="418" spans="4:5">
      <c r="D418" s="60"/>
      <c r="E418" s="60"/>
    </row>
    <row r="419" spans="4:5">
      <c r="D419" s="60"/>
      <c r="E419" s="60"/>
    </row>
    <row r="420" spans="4:5">
      <c r="D420" s="60"/>
      <c r="E420" s="60"/>
    </row>
    <row r="421" spans="4:5">
      <c r="D421" s="60"/>
      <c r="E421" s="60"/>
    </row>
    <row r="422" spans="4:5">
      <c r="D422" s="60"/>
      <c r="E422" s="60"/>
    </row>
    <row r="423" spans="4:5">
      <c r="D423" s="60"/>
      <c r="E423" s="60"/>
    </row>
    <row r="424" spans="4:5">
      <c r="D424" s="60"/>
      <c r="E424" s="60"/>
    </row>
    <row r="425" spans="4:5">
      <c r="D425" s="60"/>
      <c r="E425" s="60"/>
    </row>
    <row r="426" spans="4:5">
      <c r="D426" s="60"/>
      <c r="E426" s="60"/>
    </row>
    <row r="427" spans="4:5">
      <c r="D427" s="60"/>
      <c r="E427" s="60"/>
    </row>
    <row r="428" spans="4:5">
      <c r="D428" s="60"/>
      <c r="E428" s="60"/>
    </row>
    <row r="429" spans="4:5">
      <c r="D429" s="60"/>
      <c r="E429" s="60"/>
    </row>
    <row r="430" spans="4:5">
      <c r="D430" s="60"/>
      <c r="E430" s="60"/>
    </row>
    <row r="431" spans="4:5">
      <c r="D431" s="60"/>
      <c r="E431" s="60"/>
    </row>
    <row r="432" spans="4:5">
      <c r="D432" s="60"/>
      <c r="E432" s="60"/>
    </row>
    <row r="433" spans="4:5">
      <c r="D433" s="60"/>
      <c r="E433" s="60"/>
    </row>
    <row r="434" spans="4:5">
      <c r="D434" s="60"/>
      <c r="E434" s="60"/>
    </row>
    <row r="435" spans="4:5">
      <c r="D435" s="60"/>
      <c r="E435" s="60"/>
    </row>
    <row r="436" spans="4:5">
      <c r="D436" s="60"/>
      <c r="E436" s="60"/>
    </row>
    <row r="437" spans="4:5">
      <c r="D437" s="60"/>
      <c r="E437" s="60"/>
    </row>
    <row r="438" spans="4:5">
      <c r="D438" s="60"/>
      <c r="E438" s="60"/>
    </row>
    <row r="439" spans="4:5">
      <c r="D439" s="60"/>
      <c r="E439" s="60"/>
    </row>
    <row r="440" spans="4:5">
      <c r="D440" s="60"/>
      <c r="E440" s="60"/>
    </row>
    <row r="441" spans="4:5">
      <c r="D441" s="60"/>
      <c r="E441" s="60"/>
    </row>
    <row r="442" spans="4:5">
      <c r="D442" s="60"/>
      <c r="E442" s="60"/>
    </row>
    <row r="443" spans="4:5">
      <c r="D443" s="60"/>
      <c r="E443" s="60"/>
    </row>
    <row r="444" spans="4:5">
      <c r="D444" s="60"/>
      <c r="E444" s="60"/>
    </row>
    <row r="445" spans="4:5">
      <c r="D445" s="60"/>
      <c r="E445" s="60"/>
    </row>
    <row r="446" spans="4:5">
      <c r="D446" s="60"/>
      <c r="E446" s="60"/>
    </row>
    <row r="447" spans="4:5">
      <c r="D447" s="60"/>
      <c r="E447" s="60"/>
    </row>
    <row r="448" spans="4:5">
      <c r="D448" s="60"/>
      <c r="E448" s="60"/>
    </row>
    <row r="449" spans="4:5">
      <c r="D449" s="60"/>
      <c r="E449" s="60"/>
    </row>
    <row r="450" spans="4:5">
      <c r="D450" s="60"/>
      <c r="E450" s="60"/>
    </row>
    <row r="451" spans="4:5">
      <c r="D451" s="60"/>
      <c r="E451" s="60"/>
    </row>
    <row r="452" spans="4:5">
      <c r="D452" s="60"/>
      <c r="E452" s="60"/>
    </row>
    <row r="453" spans="4:5">
      <c r="D453" s="60"/>
      <c r="E453" s="60"/>
    </row>
    <row r="454" spans="4:5">
      <c r="D454" s="60"/>
      <c r="E454" s="60"/>
    </row>
    <row r="455" spans="4:5">
      <c r="D455" s="60"/>
      <c r="E455" s="60"/>
    </row>
    <row r="456" spans="4:5">
      <c r="D456" s="60"/>
      <c r="E456" s="60"/>
    </row>
    <row r="457" spans="4:5">
      <c r="D457" s="60"/>
      <c r="E457" s="60"/>
    </row>
    <row r="458" spans="4:5">
      <c r="D458" s="60"/>
      <c r="E458" s="60"/>
    </row>
    <row r="459" spans="4:5">
      <c r="D459" s="60"/>
      <c r="E459" s="60"/>
    </row>
    <row r="460" spans="4:5">
      <c r="D460" s="60"/>
      <c r="E460" s="60"/>
    </row>
    <row r="461" spans="4:5">
      <c r="D461" s="60"/>
      <c r="E461" s="60"/>
    </row>
    <row r="462" spans="4:5">
      <c r="D462" s="60"/>
      <c r="E462" s="60"/>
    </row>
    <row r="463" spans="4:5">
      <c r="D463" s="60"/>
      <c r="E463" s="60"/>
    </row>
    <row r="464" spans="4:5">
      <c r="D464" s="60"/>
      <c r="E464" s="60"/>
    </row>
    <row r="465" spans="4:5">
      <c r="D465" s="60"/>
      <c r="E465" s="60"/>
    </row>
    <row r="466" spans="4:5">
      <c r="D466" s="60"/>
      <c r="E466" s="60"/>
    </row>
    <row r="467" spans="4:5">
      <c r="D467" s="60"/>
      <c r="E467" s="60"/>
    </row>
    <row r="468" spans="4:5">
      <c r="D468" s="60"/>
      <c r="E468" s="60"/>
    </row>
    <row r="469" spans="4:5">
      <c r="D469" s="60"/>
      <c r="E469" s="60"/>
    </row>
    <row r="470" spans="4:5">
      <c r="D470" s="60"/>
      <c r="E470" s="60"/>
    </row>
    <row r="471" spans="4:5">
      <c r="D471" s="60"/>
      <c r="E471" s="60"/>
    </row>
    <row r="472" spans="4:5">
      <c r="D472" s="60"/>
      <c r="E472" s="60"/>
    </row>
    <row r="473" spans="4:5">
      <c r="D473" s="60"/>
      <c r="E473" s="60"/>
    </row>
    <row r="474" spans="4:5">
      <c r="D474" s="60"/>
      <c r="E474" s="60"/>
    </row>
    <row r="475" spans="4:5">
      <c r="D475" s="60"/>
      <c r="E475" s="60"/>
    </row>
    <row r="476" spans="4:5">
      <c r="D476" s="60"/>
      <c r="E476" s="60"/>
    </row>
    <row r="477" spans="4:5">
      <c r="D477" s="60"/>
      <c r="E477" s="60"/>
    </row>
    <row r="478" spans="4:5">
      <c r="D478" s="60"/>
      <c r="E478" s="60"/>
    </row>
    <row r="479" spans="4:5">
      <c r="D479" s="60"/>
      <c r="E479" s="60"/>
    </row>
    <row r="480" spans="4:5">
      <c r="D480" s="60"/>
      <c r="E480" s="60"/>
    </row>
    <row r="481" spans="4:5">
      <c r="D481" s="60"/>
      <c r="E481" s="60"/>
    </row>
    <row r="482" spans="4:5">
      <c r="D482" s="60"/>
      <c r="E482" s="60"/>
    </row>
    <row r="483" spans="4:5">
      <c r="D483" s="60"/>
      <c r="E483" s="60"/>
    </row>
    <row r="484" spans="4:5">
      <c r="D484" s="60"/>
      <c r="E484" s="60"/>
    </row>
    <row r="485" spans="4:5">
      <c r="D485" s="60"/>
      <c r="E485" s="60"/>
    </row>
    <row r="486" spans="4:5">
      <c r="D486" s="60"/>
      <c r="E486" s="60"/>
    </row>
    <row r="487" spans="4:5">
      <c r="D487" s="60"/>
      <c r="E487" s="60"/>
    </row>
    <row r="488" spans="4:5">
      <c r="D488" s="60"/>
      <c r="E488" s="60"/>
    </row>
    <row r="489" spans="4:5">
      <c r="D489" s="60"/>
      <c r="E489" s="60"/>
    </row>
    <row r="490" spans="4:5">
      <c r="D490" s="60"/>
      <c r="E490" s="60"/>
    </row>
    <row r="491" spans="4:5">
      <c r="D491" s="60"/>
      <c r="E491" s="60"/>
    </row>
    <row r="492" spans="4:5">
      <c r="D492" s="60"/>
      <c r="E492" s="60"/>
    </row>
    <row r="493" spans="4:5">
      <c r="D493" s="60"/>
      <c r="E493" s="60"/>
    </row>
    <row r="494" spans="4:5">
      <c r="D494" s="60"/>
      <c r="E494" s="60"/>
    </row>
    <row r="495" spans="4:5">
      <c r="D495" s="60"/>
      <c r="E495" s="60"/>
    </row>
    <row r="496" spans="4:5">
      <c r="D496" s="60"/>
      <c r="E496" s="60"/>
    </row>
    <row r="497" spans="4:5">
      <c r="D497" s="60"/>
      <c r="E497" s="60"/>
    </row>
    <row r="498" spans="4:5">
      <c r="D498" s="60"/>
      <c r="E498" s="60"/>
    </row>
    <row r="499" spans="4:5">
      <c r="D499" s="60"/>
      <c r="E499" s="60"/>
    </row>
    <row r="500" spans="4:5">
      <c r="D500" s="60"/>
      <c r="E500" s="60"/>
    </row>
    <row r="501" spans="4:5">
      <c r="D501" s="60"/>
      <c r="E501" s="60"/>
    </row>
    <row r="502" spans="4:5">
      <c r="D502" s="60"/>
      <c r="E502" s="60"/>
    </row>
    <row r="503" spans="4:5">
      <c r="D503" s="60"/>
      <c r="E503" s="60"/>
    </row>
    <row r="504" spans="4:5">
      <c r="D504" s="60"/>
      <c r="E504" s="60"/>
    </row>
    <row r="505" spans="4:5">
      <c r="D505" s="60"/>
      <c r="E505" s="60"/>
    </row>
    <row r="506" spans="4:5">
      <c r="D506" s="60"/>
      <c r="E506" s="60"/>
    </row>
    <row r="507" spans="4:5">
      <c r="D507" s="60"/>
      <c r="E507" s="60"/>
    </row>
    <row r="508" spans="4:5">
      <c r="D508" s="60"/>
      <c r="E508" s="60"/>
    </row>
    <row r="509" spans="4:5">
      <c r="D509" s="60"/>
      <c r="E509" s="60"/>
    </row>
    <row r="510" spans="4:5">
      <c r="D510" s="60"/>
      <c r="E510" s="60"/>
    </row>
    <row r="511" spans="4:5">
      <c r="D511" s="60"/>
      <c r="E511" s="60"/>
    </row>
    <row r="512" spans="4:5">
      <c r="D512" s="60"/>
      <c r="E512" s="60"/>
    </row>
    <row r="513" spans="4:5">
      <c r="D513" s="60"/>
      <c r="E513" s="60"/>
    </row>
    <row r="514" spans="4:5">
      <c r="D514" s="60"/>
      <c r="E514" s="60"/>
    </row>
    <row r="515" spans="4:5">
      <c r="D515" s="60"/>
      <c r="E515" s="60"/>
    </row>
    <row r="516" spans="4:5">
      <c r="D516" s="60"/>
      <c r="E516" s="60"/>
    </row>
    <row r="517" spans="4:5">
      <c r="D517" s="60"/>
      <c r="E517" s="60"/>
    </row>
    <row r="518" spans="4:5">
      <c r="D518" s="60"/>
      <c r="E518" s="60"/>
    </row>
    <row r="519" spans="4:5">
      <c r="D519" s="60"/>
      <c r="E519" s="60"/>
    </row>
    <row r="520" spans="4:5">
      <c r="D520" s="60"/>
      <c r="E520" s="60"/>
    </row>
    <row r="521" spans="4:5">
      <c r="D521" s="60"/>
      <c r="E521" s="60"/>
    </row>
    <row r="522" spans="4:5">
      <c r="D522" s="60"/>
      <c r="E522" s="60"/>
    </row>
    <row r="523" spans="4:5">
      <c r="D523" s="60"/>
      <c r="E523" s="60"/>
    </row>
    <row r="524" spans="4:5">
      <c r="D524" s="60"/>
      <c r="E524" s="60"/>
    </row>
    <row r="525" spans="4:5">
      <c r="D525" s="60"/>
      <c r="E525" s="60"/>
    </row>
    <row r="526" spans="4:5">
      <c r="D526" s="60"/>
      <c r="E526" s="60"/>
    </row>
    <row r="527" spans="4:5">
      <c r="D527" s="60"/>
      <c r="E527" s="60"/>
    </row>
    <row r="528" spans="4:5">
      <c r="D528" s="60"/>
      <c r="E528" s="60"/>
    </row>
    <row r="529" spans="4:5">
      <c r="D529" s="60"/>
      <c r="E529" s="60"/>
    </row>
    <row r="530" spans="4:5">
      <c r="D530" s="60"/>
      <c r="E530" s="60"/>
    </row>
    <row r="531" spans="4:5">
      <c r="D531" s="60"/>
      <c r="E531" s="60"/>
    </row>
    <row r="532" spans="4:5">
      <c r="D532" s="60"/>
      <c r="E532" s="60"/>
    </row>
    <row r="533" spans="4:5">
      <c r="D533" s="60"/>
      <c r="E533" s="60"/>
    </row>
    <row r="534" spans="4:5">
      <c r="D534" s="60"/>
      <c r="E534" s="60"/>
    </row>
    <row r="535" spans="4:5">
      <c r="D535" s="60"/>
      <c r="E535" s="60"/>
    </row>
    <row r="536" spans="4:5">
      <c r="D536" s="60"/>
      <c r="E536" s="60"/>
    </row>
    <row r="537" spans="4:5">
      <c r="D537" s="60"/>
      <c r="E537" s="60"/>
    </row>
    <row r="538" spans="4:5">
      <c r="D538" s="60"/>
      <c r="E538" s="60"/>
    </row>
    <row r="539" spans="4:5">
      <c r="D539" s="60"/>
      <c r="E539" s="60"/>
    </row>
    <row r="540" spans="4:5">
      <c r="D540" s="60"/>
      <c r="E540" s="60"/>
    </row>
    <row r="541" spans="4:5">
      <c r="D541" s="60"/>
      <c r="E541" s="60"/>
    </row>
    <row r="542" spans="4:5">
      <c r="D542" s="60"/>
      <c r="E542" s="60"/>
    </row>
    <row r="543" spans="4:5">
      <c r="D543" s="60"/>
      <c r="E543" s="60"/>
    </row>
    <row r="544" spans="4:5">
      <c r="D544" s="60"/>
      <c r="E544" s="60"/>
    </row>
    <row r="545" spans="4:5">
      <c r="D545" s="60"/>
      <c r="E545" s="60"/>
    </row>
    <row r="546" spans="4:5">
      <c r="D546" s="60"/>
      <c r="E546" s="60"/>
    </row>
    <row r="547" spans="4:5">
      <c r="D547" s="60"/>
      <c r="E547" s="60"/>
    </row>
    <row r="548" spans="4:5">
      <c r="D548" s="60"/>
      <c r="E548" s="60"/>
    </row>
    <row r="549" spans="4:5">
      <c r="D549" s="60"/>
      <c r="E549" s="60"/>
    </row>
    <row r="550" spans="4:5">
      <c r="D550" s="60"/>
      <c r="E550" s="60"/>
    </row>
    <row r="551" spans="4:5">
      <c r="D551" s="60"/>
      <c r="E551" s="60"/>
    </row>
    <row r="552" spans="4:5">
      <c r="D552" s="60"/>
      <c r="E552" s="60"/>
    </row>
    <row r="553" spans="4:5">
      <c r="D553" s="60"/>
      <c r="E553" s="60"/>
    </row>
    <row r="554" spans="4:5">
      <c r="D554" s="60"/>
      <c r="E554" s="60"/>
    </row>
    <row r="555" spans="4:5">
      <c r="D555" s="60"/>
      <c r="E555" s="60"/>
    </row>
    <row r="556" spans="4:5">
      <c r="D556" s="60"/>
      <c r="E556" s="60"/>
    </row>
    <row r="557" spans="4:5">
      <c r="D557" s="60"/>
      <c r="E557" s="60"/>
    </row>
    <row r="558" spans="4:5">
      <c r="D558" s="60"/>
      <c r="E558" s="60"/>
    </row>
    <row r="559" spans="4:5">
      <c r="D559" s="60"/>
      <c r="E559" s="60"/>
    </row>
    <row r="560" spans="4:5">
      <c r="D560" s="60"/>
      <c r="E560" s="60"/>
    </row>
    <row r="561" spans="4:5">
      <c r="D561" s="60"/>
      <c r="E561" s="60"/>
    </row>
    <row r="562" spans="4:5">
      <c r="D562" s="60"/>
      <c r="E562" s="60"/>
    </row>
    <row r="563" spans="4:5">
      <c r="D563" s="60"/>
      <c r="E563" s="60"/>
    </row>
    <row r="564" spans="4:5">
      <c r="D564" s="60"/>
      <c r="E564" s="60"/>
    </row>
    <row r="565" spans="4:5">
      <c r="D565" s="60"/>
      <c r="E565" s="60"/>
    </row>
    <row r="566" spans="4:5">
      <c r="D566" s="60"/>
      <c r="E566" s="60"/>
    </row>
    <row r="567" spans="4:5">
      <c r="D567" s="60"/>
      <c r="E567" s="60"/>
    </row>
    <row r="568" spans="4:5">
      <c r="D568" s="60"/>
      <c r="E568" s="60"/>
    </row>
    <row r="569" spans="4:5">
      <c r="D569" s="60"/>
      <c r="E569" s="60"/>
    </row>
    <row r="570" spans="4:5">
      <c r="D570" s="60"/>
      <c r="E570" s="60"/>
    </row>
    <row r="571" spans="4:5">
      <c r="D571" s="60"/>
      <c r="E571" s="60"/>
    </row>
    <row r="572" spans="4:5">
      <c r="D572" s="60"/>
      <c r="E572" s="60"/>
    </row>
    <row r="573" spans="4:5">
      <c r="D573" s="60"/>
      <c r="E573" s="60"/>
    </row>
    <row r="574" spans="4:5">
      <c r="D574" s="60"/>
      <c r="E574" s="60"/>
    </row>
    <row r="575" spans="4:5">
      <c r="D575" s="60"/>
      <c r="E575" s="60"/>
    </row>
    <row r="576" spans="4:5">
      <c r="D576" s="60"/>
      <c r="E576" s="60"/>
    </row>
    <row r="577" spans="4:5">
      <c r="D577" s="60"/>
      <c r="E577" s="60"/>
    </row>
    <row r="578" spans="4:5">
      <c r="D578" s="60"/>
      <c r="E578" s="60"/>
    </row>
    <row r="579" spans="4:5">
      <c r="D579" s="60"/>
      <c r="E579" s="60"/>
    </row>
    <row r="580" spans="4:5">
      <c r="D580" s="60"/>
      <c r="E580" s="60"/>
    </row>
    <row r="581" spans="4:5">
      <c r="D581" s="60"/>
      <c r="E581" s="60"/>
    </row>
    <row r="582" spans="4:5">
      <c r="D582" s="60"/>
      <c r="E582" s="60"/>
    </row>
    <row r="583" spans="4:5">
      <c r="D583" s="60"/>
      <c r="E583" s="60"/>
    </row>
    <row r="584" spans="4:5">
      <c r="D584" s="60"/>
      <c r="E584" s="60"/>
    </row>
    <row r="585" spans="4:5">
      <c r="D585" s="60"/>
      <c r="E585" s="60"/>
    </row>
    <row r="586" spans="4:5">
      <c r="D586" s="60"/>
      <c r="E586" s="60"/>
    </row>
    <row r="587" spans="4:5">
      <c r="D587" s="60"/>
      <c r="E587" s="60"/>
    </row>
    <row r="588" spans="4:5">
      <c r="D588" s="60"/>
      <c r="E588" s="60"/>
    </row>
    <row r="589" spans="4:5">
      <c r="D589" s="60"/>
      <c r="E589" s="60"/>
    </row>
    <row r="590" spans="4:5">
      <c r="D590" s="60"/>
      <c r="E590" s="60"/>
    </row>
    <row r="591" spans="4:5">
      <c r="D591" s="60"/>
      <c r="E591" s="60"/>
    </row>
    <row r="592" spans="4:5">
      <c r="D592" s="60"/>
      <c r="E592" s="60"/>
    </row>
    <row r="593" spans="4:5">
      <c r="D593" s="60"/>
      <c r="E593" s="60"/>
    </row>
    <row r="594" spans="4:5">
      <c r="D594" s="60"/>
      <c r="E594" s="60"/>
    </row>
    <row r="595" spans="4:5">
      <c r="D595" s="60"/>
      <c r="E595" s="60"/>
    </row>
    <row r="596" spans="4:5">
      <c r="D596" s="60"/>
      <c r="E596" s="60"/>
    </row>
    <row r="597" spans="4:5">
      <c r="D597" s="60"/>
      <c r="E597" s="60"/>
    </row>
    <row r="598" spans="4:5">
      <c r="D598" s="60"/>
      <c r="E598" s="60"/>
    </row>
    <row r="599" spans="4:5">
      <c r="D599" s="60"/>
      <c r="E599" s="60"/>
    </row>
    <row r="600" spans="4:5">
      <c r="D600" s="60"/>
      <c r="E600" s="60"/>
    </row>
    <row r="601" spans="4:5">
      <c r="D601" s="60"/>
      <c r="E601" s="60"/>
    </row>
    <row r="602" spans="4:5">
      <c r="D602" s="60"/>
      <c r="E602" s="60"/>
    </row>
    <row r="603" spans="4:5">
      <c r="D603" s="60"/>
      <c r="E603" s="60"/>
    </row>
    <row r="604" spans="4:5">
      <c r="D604" s="60"/>
      <c r="E604" s="60"/>
    </row>
    <row r="605" spans="4:5">
      <c r="D605" s="60"/>
      <c r="E605" s="60"/>
    </row>
    <row r="606" spans="4:5">
      <c r="D606" s="60"/>
      <c r="E606" s="60"/>
    </row>
    <row r="607" spans="4:5">
      <c r="D607" s="60"/>
      <c r="E607" s="60"/>
    </row>
    <row r="608" spans="4:5">
      <c r="D608" s="60"/>
      <c r="E608" s="60"/>
    </row>
    <row r="609" spans="4:5">
      <c r="D609" s="60"/>
      <c r="E609" s="60"/>
    </row>
    <row r="610" spans="4:5">
      <c r="D610" s="60"/>
      <c r="E610" s="60"/>
    </row>
    <row r="611" spans="4:5">
      <c r="D611" s="60"/>
      <c r="E611" s="60"/>
    </row>
    <row r="612" spans="4:5">
      <c r="D612" s="60"/>
      <c r="E612" s="60"/>
    </row>
    <row r="613" spans="4:5">
      <c r="D613" s="60"/>
      <c r="E613" s="60"/>
    </row>
    <row r="614" spans="4:5">
      <c r="D614" s="60"/>
      <c r="E614" s="60"/>
    </row>
    <row r="615" spans="4:5">
      <c r="D615" s="60"/>
      <c r="E615" s="60"/>
    </row>
    <row r="616" spans="4:5">
      <c r="D616" s="60"/>
      <c r="E616" s="60"/>
    </row>
    <row r="617" spans="4:5">
      <c r="D617" s="60"/>
      <c r="E617" s="60"/>
    </row>
    <row r="618" spans="4:5">
      <c r="D618" s="60"/>
      <c r="E618" s="60"/>
    </row>
    <row r="619" spans="4:5">
      <c r="D619" s="60"/>
      <c r="E619" s="60"/>
    </row>
    <row r="620" spans="4:5">
      <c r="D620" s="60"/>
      <c r="E620" s="60"/>
    </row>
    <row r="621" spans="4:5">
      <c r="D621" s="60"/>
      <c r="E621" s="60"/>
    </row>
    <row r="622" spans="4:5">
      <c r="D622" s="60"/>
      <c r="E622" s="60"/>
    </row>
    <row r="623" spans="4:5">
      <c r="D623" s="60"/>
      <c r="E623" s="60"/>
    </row>
    <row r="624" spans="4:5">
      <c r="D624" s="60"/>
      <c r="E624" s="60"/>
    </row>
    <row r="625" spans="4:5">
      <c r="D625" s="60"/>
      <c r="E625" s="60"/>
    </row>
    <row r="626" spans="4:5">
      <c r="D626" s="60"/>
      <c r="E626" s="60"/>
    </row>
    <row r="627" spans="4:5">
      <c r="D627" s="60"/>
      <c r="E627" s="60"/>
    </row>
    <row r="628" spans="4:5">
      <c r="D628" s="60"/>
      <c r="E628" s="60"/>
    </row>
    <row r="629" spans="4:5">
      <c r="D629" s="60"/>
      <c r="E629" s="60"/>
    </row>
    <row r="630" spans="4:5">
      <c r="D630" s="60"/>
      <c r="E630" s="60"/>
    </row>
    <row r="631" spans="4:5">
      <c r="D631" s="60"/>
      <c r="E631" s="60"/>
    </row>
    <row r="632" spans="4:5">
      <c r="D632" s="60"/>
      <c r="E632" s="60"/>
    </row>
    <row r="633" spans="4:5">
      <c r="D633" s="60"/>
      <c r="E633" s="60"/>
    </row>
    <row r="634" spans="4:5">
      <c r="D634" s="60"/>
      <c r="E634" s="60"/>
    </row>
    <row r="635" spans="4:5">
      <c r="D635" s="60"/>
      <c r="E635" s="60"/>
    </row>
    <row r="636" spans="4:5">
      <c r="D636" s="60"/>
      <c r="E636" s="60"/>
    </row>
    <row r="637" spans="4:5">
      <c r="D637" s="60"/>
      <c r="E637" s="60"/>
    </row>
    <row r="638" spans="4:5">
      <c r="D638" s="60"/>
      <c r="E638" s="60"/>
    </row>
    <row r="639" spans="4:5">
      <c r="D639" s="60"/>
      <c r="E639" s="60"/>
    </row>
    <row r="640" spans="4:5">
      <c r="D640" s="60"/>
      <c r="E640" s="60"/>
    </row>
    <row r="641" spans="4:5">
      <c r="D641" s="60"/>
      <c r="E641" s="60"/>
    </row>
    <row r="642" spans="4:5">
      <c r="D642" s="60"/>
      <c r="E642" s="60"/>
    </row>
    <row r="643" spans="4:5">
      <c r="D643" s="60"/>
      <c r="E643" s="60"/>
    </row>
    <row r="644" spans="4:5">
      <c r="D644" s="60"/>
      <c r="E644" s="60"/>
    </row>
    <row r="645" spans="4:5">
      <c r="D645" s="60"/>
      <c r="E645" s="60"/>
    </row>
    <row r="646" spans="4:5">
      <c r="D646" s="60"/>
      <c r="E646" s="60"/>
    </row>
    <row r="647" spans="4:5">
      <c r="D647" s="60"/>
      <c r="E647" s="60"/>
    </row>
    <row r="648" spans="4:5">
      <c r="D648" s="60"/>
      <c r="E648" s="60"/>
    </row>
    <row r="649" spans="4:5">
      <c r="D649" s="60"/>
      <c r="E649" s="60"/>
    </row>
    <row r="650" spans="4:5">
      <c r="D650" s="60"/>
      <c r="E650" s="60"/>
    </row>
    <row r="651" spans="4:5">
      <c r="D651" s="60"/>
      <c r="E651" s="60"/>
    </row>
    <row r="652" spans="4:5">
      <c r="D652" s="60"/>
      <c r="E652" s="60"/>
    </row>
    <row r="653" spans="4:5">
      <c r="D653" s="60"/>
      <c r="E653" s="60"/>
    </row>
    <row r="654" spans="4:5">
      <c r="D654" s="60"/>
      <c r="E654" s="60"/>
    </row>
    <row r="655" spans="4:5">
      <c r="D655" s="60"/>
      <c r="E655" s="60"/>
    </row>
    <row r="656" spans="4:5">
      <c r="D656" s="60"/>
      <c r="E656" s="60"/>
    </row>
    <row r="657" spans="4:5">
      <c r="D657" s="60"/>
      <c r="E657" s="60"/>
    </row>
    <row r="658" spans="4:5">
      <c r="D658" s="60"/>
      <c r="E658" s="60"/>
    </row>
    <row r="659" spans="4:5">
      <c r="D659" s="60"/>
      <c r="E659" s="60"/>
    </row>
    <row r="660" spans="4:5">
      <c r="D660" s="60"/>
      <c r="E660" s="60"/>
    </row>
    <row r="661" spans="4:5">
      <c r="D661" s="60"/>
      <c r="E661" s="60"/>
    </row>
    <row r="662" spans="4:5">
      <c r="D662" s="60"/>
      <c r="E662" s="60"/>
    </row>
    <row r="663" spans="4:5">
      <c r="D663" s="60"/>
      <c r="E663" s="60"/>
    </row>
    <row r="664" spans="4:5">
      <c r="D664" s="60"/>
      <c r="E664" s="60"/>
    </row>
    <row r="665" spans="4:5">
      <c r="D665" s="60"/>
      <c r="E665" s="60"/>
    </row>
    <row r="666" spans="4:5">
      <c r="D666" s="60"/>
      <c r="E666" s="60"/>
    </row>
    <row r="667" spans="4:5">
      <c r="D667" s="60"/>
      <c r="E667" s="60"/>
    </row>
    <row r="668" spans="4:5">
      <c r="D668" s="60"/>
      <c r="E668" s="60"/>
    </row>
    <row r="669" spans="4:5">
      <c r="D669" s="60"/>
      <c r="E669" s="60"/>
    </row>
    <row r="670" spans="4:5">
      <c r="D670" s="60"/>
      <c r="E670" s="60"/>
    </row>
    <row r="671" spans="4:5">
      <c r="D671" s="60"/>
      <c r="E671" s="60"/>
    </row>
    <row r="672" spans="4:5">
      <c r="D672" s="60"/>
      <c r="E672" s="60"/>
    </row>
    <row r="673" spans="4:5">
      <c r="D673" s="60"/>
      <c r="E673" s="60"/>
    </row>
    <row r="674" spans="4:5">
      <c r="D674" s="60"/>
      <c r="E674" s="60"/>
    </row>
    <row r="675" spans="4:5">
      <c r="D675" s="60"/>
      <c r="E675" s="60"/>
    </row>
    <row r="676" spans="4:5">
      <c r="D676" s="60"/>
      <c r="E676" s="60"/>
    </row>
    <row r="677" spans="4:5">
      <c r="D677" s="60"/>
      <c r="E677" s="60"/>
    </row>
    <row r="678" spans="4:5">
      <c r="D678" s="60"/>
      <c r="E678" s="60"/>
    </row>
    <row r="679" spans="4:5">
      <c r="D679" s="60"/>
      <c r="E679" s="60"/>
    </row>
    <row r="680" spans="4:5">
      <c r="D680" s="60"/>
      <c r="E680" s="60"/>
    </row>
    <row r="681" spans="4:5">
      <c r="D681" s="60"/>
      <c r="E681" s="60"/>
    </row>
    <row r="682" spans="4:5">
      <c r="D682" s="60"/>
      <c r="E682" s="60"/>
    </row>
    <row r="683" spans="4:5">
      <c r="D683" s="60"/>
      <c r="E683" s="60"/>
    </row>
    <row r="684" spans="4:5">
      <c r="D684" s="60"/>
      <c r="E684" s="60"/>
    </row>
    <row r="685" spans="4:5">
      <c r="D685" s="60"/>
      <c r="E685" s="60"/>
    </row>
    <row r="686" spans="4:5">
      <c r="D686" s="60"/>
      <c r="E686" s="60"/>
    </row>
    <row r="687" spans="4:5">
      <c r="D687" s="60"/>
      <c r="E687" s="60"/>
    </row>
    <row r="688" spans="4:5">
      <c r="D688" s="60"/>
      <c r="E688" s="60"/>
    </row>
    <row r="689" spans="4:5">
      <c r="D689" s="60"/>
      <c r="E689" s="60"/>
    </row>
    <row r="690" spans="4:5">
      <c r="D690" s="60"/>
      <c r="E690" s="60"/>
    </row>
    <row r="691" spans="4:5">
      <c r="D691" s="60"/>
      <c r="E691" s="60"/>
    </row>
    <row r="692" spans="4:5">
      <c r="D692" s="60"/>
      <c r="E692" s="60"/>
    </row>
    <row r="693" spans="4:5">
      <c r="D693" s="60"/>
      <c r="E693" s="60"/>
    </row>
    <row r="694" spans="4:5">
      <c r="D694" s="60"/>
      <c r="E694" s="60"/>
    </row>
    <row r="695" spans="4:5">
      <c r="D695" s="60"/>
      <c r="E695" s="60"/>
    </row>
    <row r="696" spans="4:5">
      <c r="D696" s="60"/>
      <c r="E696" s="60"/>
    </row>
    <row r="697" spans="4:5">
      <c r="D697" s="60"/>
      <c r="E697" s="60"/>
    </row>
    <row r="698" spans="4:5">
      <c r="D698" s="60"/>
      <c r="E698" s="60"/>
    </row>
    <row r="699" spans="4:5">
      <c r="D699" s="60"/>
      <c r="E699" s="60"/>
    </row>
    <row r="700" spans="4:5">
      <c r="D700" s="60"/>
      <c r="E700" s="60"/>
    </row>
    <row r="701" spans="4:5">
      <c r="D701" s="60"/>
      <c r="E701" s="60"/>
    </row>
    <row r="702" spans="4:5">
      <c r="D702" s="60"/>
      <c r="E702" s="60"/>
    </row>
    <row r="703" spans="4:5">
      <c r="D703" s="60"/>
      <c r="E703" s="60"/>
    </row>
    <row r="704" spans="4:5">
      <c r="D704" s="60"/>
      <c r="E704" s="60"/>
    </row>
    <row r="705" spans="4:5">
      <c r="D705" s="60"/>
      <c r="E705" s="60"/>
    </row>
    <row r="706" spans="4:5">
      <c r="D706" s="60"/>
      <c r="E706" s="60"/>
    </row>
    <row r="707" spans="4:5">
      <c r="D707" s="60"/>
      <c r="E707" s="60"/>
    </row>
    <row r="708" spans="4:5">
      <c r="D708" s="60"/>
      <c r="E708" s="60"/>
    </row>
    <row r="709" spans="4:5">
      <c r="D709" s="60"/>
      <c r="E709" s="60"/>
    </row>
    <row r="710" spans="4:5">
      <c r="D710" s="60"/>
      <c r="E710" s="60"/>
    </row>
    <row r="711" spans="4:5">
      <c r="D711" s="60"/>
      <c r="E711" s="60"/>
    </row>
    <row r="712" spans="4:5">
      <c r="D712" s="60"/>
      <c r="E712" s="60"/>
    </row>
    <row r="713" spans="4:5">
      <c r="D713" s="60"/>
      <c r="E713" s="60"/>
    </row>
    <row r="714" spans="4:5">
      <c r="D714" s="60"/>
      <c r="E714" s="60"/>
    </row>
    <row r="715" spans="4:5">
      <c r="D715" s="60"/>
      <c r="E715" s="60"/>
    </row>
    <row r="716" spans="4:5">
      <c r="D716" s="60"/>
      <c r="E716" s="60"/>
    </row>
    <row r="717" spans="4:5">
      <c r="D717" s="60"/>
      <c r="E717" s="60"/>
    </row>
    <row r="718" spans="4:5">
      <c r="D718" s="60"/>
      <c r="E718" s="60"/>
    </row>
    <row r="719" spans="4:5">
      <c r="D719" s="60"/>
      <c r="E719" s="60"/>
    </row>
    <row r="720" spans="4:5">
      <c r="D720" s="60"/>
      <c r="E720" s="60"/>
    </row>
    <row r="721" spans="4:5">
      <c r="D721" s="60"/>
      <c r="E721" s="60"/>
    </row>
    <row r="722" spans="4:5">
      <c r="D722" s="60"/>
      <c r="E722" s="60"/>
    </row>
    <row r="723" spans="4:5">
      <c r="D723" s="60"/>
      <c r="E723" s="60"/>
    </row>
    <row r="724" spans="4:5">
      <c r="D724" s="60"/>
      <c r="E724" s="60"/>
    </row>
    <row r="725" spans="4:5">
      <c r="D725" s="60"/>
      <c r="E725" s="60"/>
    </row>
    <row r="726" spans="4:5">
      <c r="D726" s="60"/>
      <c r="E726" s="60"/>
    </row>
    <row r="727" spans="4:5">
      <c r="D727" s="60"/>
      <c r="E727" s="60"/>
    </row>
    <row r="728" spans="4:5">
      <c r="D728" s="60"/>
      <c r="E728" s="60"/>
    </row>
    <row r="729" spans="4:5">
      <c r="D729" s="60"/>
      <c r="E729" s="60"/>
    </row>
    <row r="730" spans="4:5">
      <c r="D730" s="60"/>
      <c r="E730" s="60"/>
    </row>
    <row r="731" spans="4:5">
      <c r="D731" s="60"/>
      <c r="E731" s="60"/>
    </row>
    <row r="732" spans="4:5">
      <c r="D732" s="60"/>
      <c r="E732" s="60"/>
    </row>
    <row r="733" spans="4:5">
      <c r="D733" s="60"/>
      <c r="E733" s="60"/>
    </row>
    <row r="734" spans="4:5">
      <c r="D734" s="60"/>
      <c r="E734" s="60"/>
    </row>
    <row r="735" spans="4:5">
      <c r="D735" s="60"/>
      <c r="E735" s="60"/>
    </row>
    <row r="736" spans="4:5">
      <c r="D736" s="60"/>
      <c r="E736" s="60"/>
    </row>
    <row r="737" spans="4:5">
      <c r="D737" s="60"/>
      <c r="E737" s="60"/>
    </row>
    <row r="738" spans="4:5">
      <c r="D738" s="60"/>
      <c r="E738" s="60"/>
    </row>
    <row r="739" spans="4:5">
      <c r="D739" s="60"/>
      <c r="E739" s="60"/>
    </row>
    <row r="740" spans="4:5">
      <c r="D740" s="60"/>
      <c r="E740" s="60"/>
    </row>
    <row r="741" spans="4:5">
      <c r="D741" s="60"/>
      <c r="E741" s="60"/>
    </row>
    <row r="742" spans="4:5">
      <c r="D742" s="60"/>
      <c r="E742" s="60"/>
    </row>
    <row r="743" spans="4:5">
      <c r="D743" s="60"/>
      <c r="E743" s="60"/>
    </row>
    <row r="744" spans="4:5">
      <c r="D744" s="60"/>
      <c r="E744" s="60"/>
    </row>
    <row r="745" spans="4:5">
      <c r="D745" s="60"/>
      <c r="E745" s="60"/>
    </row>
    <row r="746" spans="4:5">
      <c r="D746" s="60"/>
      <c r="E746" s="60"/>
    </row>
    <row r="747" spans="4:5">
      <c r="D747" s="60"/>
      <c r="E747" s="60"/>
    </row>
    <row r="748" spans="4:5">
      <c r="D748" s="60"/>
      <c r="E748" s="60"/>
    </row>
    <row r="749" spans="4:5">
      <c r="D749" s="60"/>
      <c r="E749" s="60"/>
    </row>
    <row r="750" spans="4:5">
      <c r="D750" s="60"/>
      <c r="E750" s="60"/>
    </row>
    <row r="751" spans="4:5">
      <c r="D751" s="60"/>
      <c r="E751" s="60"/>
    </row>
    <row r="752" spans="4:5">
      <c r="D752" s="60"/>
      <c r="E752" s="60"/>
    </row>
    <row r="753" spans="4:5">
      <c r="D753" s="60"/>
      <c r="E753" s="60"/>
    </row>
    <row r="754" spans="4:5">
      <c r="D754" s="60"/>
      <c r="E754" s="60"/>
    </row>
    <row r="755" spans="4:5">
      <c r="D755" s="60"/>
      <c r="E755" s="60"/>
    </row>
    <row r="756" spans="4:5">
      <c r="D756" s="60"/>
      <c r="E756" s="60"/>
    </row>
    <row r="757" spans="4:5">
      <c r="D757" s="60"/>
      <c r="E757" s="60"/>
    </row>
    <row r="758" spans="4:5">
      <c r="D758" s="60"/>
      <c r="E758" s="60"/>
    </row>
    <row r="759" spans="4:5">
      <c r="D759" s="60"/>
      <c r="E759" s="60"/>
    </row>
    <row r="760" spans="4:5">
      <c r="D760" s="60"/>
      <c r="E760" s="60"/>
    </row>
    <row r="761" spans="4:5">
      <c r="D761" s="60"/>
      <c r="E761" s="60"/>
    </row>
    <row r="762" spans="4:5">
      <c r="D762" s="60"/>
      <c r="E762" s="60"/>
    </row>
    <row r="763" spans="4:5">
      <c r="D763" s="60"/>
      <c r="E763" s="60"/>
    </row>
    <row r="764" spans="4:5">
      <c r="D764" s="60"/>
      <c r="E764" s="60"/>
    </row>
    <row r="765" spans="4:5">
      <c r="D765" s="60"/>
      <c r="E765" s="60"/>
    </row>
    <row r="766" spans="4:5">
      <c r="D766" s="60"/>
      <c r="E766" s="60"/>
    </row>
    <row r="767" spans="4:5">
      <c r="D767" s="60"/>
      <c r="E767" s="60"/>
    </row>
    <row r="768" spans="4:5">
      <c r="D768" s="60"/>
      <c r="E768" s="60"/>
    </row>
    <row r="769" spans="4:5">
      <c r="D769" s="60"/>
      <c r="E769" s="60"/>
    </row>
    <row r="770" spans="4:5">
      <c r="D770" s="60"/>
      <c r="E770" s="60"/>
    </row>
    <row r="771" spans="4:5">
      <c r="D771" s="60"/>
      <c r="E771" s="60"/>
    </row>
    <row r="772" spans="4:5">
      <c r="D772" s="60"/>
      <c r="E772" s="60"/>
    </row>
    <row r="773" spans="4:5">
      <c r="D773" s="60"/>
      <c r="E773" s="60"/>
    </row>
    <row r="774" spans="4:5">
      <c r="D774" s="60"/>
      <c r="E774" s="60"/>
    </row>
    <row r="775" spans="4:5">
      <c r="D775" s="60"/>
      <c r="E775" s="60"/>
    </row>
    <row r="776" spans="4:5">
      <c r="D776" s="60"/>
      <c r="E776" s="60"/>
    </row>
    <row r="777" spans="4:5">
      <c r="D777" s="60"/>
      <c r="E777" s="60"/>
    </row>
    <row r="778" spans="4:5">
      <c r="D778" s="60"/>
      <c r="E778" s="60"/>
    </row>
    <row r="779" spans="4:5">
      <c r="D779" s="60"/>
      <c r="E779" s="60"/>
    </row>
    <row r="780" spans="4:5">
      <c r="D780" s="60"/>
      <c r="E780" s="60"/>
    </row>
    <row r="781" spans="4:5">
      <c r="D781" s="60"/>
      <c r="E781" s="60"/>
    </row>
    <row r="782" spans="4:5">
      <c r="D782" s="60"/>
      <c r="E782" s="60"/>
    </row>
    <row r="783" spans="4:5">
      <c r="D783" s="60"/>
      <c r="E783" s="60"/>
    </row>
    <row r="784" spans="4:5">
      <c r="D784" s="60"/>
      <c r="E784" s="60"/>
    </row>
    <row r="785" spans="4:5">
      <c r="D785" s="60"/>
      <c r="E785" s="60"/>
    </row>
    <row r="786" spans="4:5">
      <c r="D786" s="60"/>
      <c r="E786" s="60"/>
    </row>
    <row r="787" spans="4:5">
      <c r="D787" s="60"/>
      <c r="E787" s="60"/>
    </row>
    <row r="788" spans="4:5">
      <c r="D788" s="60"/>
      <c r="E788" s="60"/>
    </row>
    <row r="789" spans="4:5">
      <c r="D789" s="60"/>
      <c r="E789" s="60"/>
    </row>
    <row r="790" spans="4:5">
      <c r="D790" s="60"/>
      <c r="E790" s="60"/>
    </row>
    <row r="791" spans="4:5">
      <c r="D791" s="60"/>
      <c r="E791" s="60"/>
    </row>
    <row r="792" spans="4:5">
      <c r="D792" s="60"/>
      <c r="E792" s="60"/>
    </row>
    <row r="793" spans="4:5">
      <c r="D793" s="60"/>
      <c r="E793" s="60"/>
    </row>
    <row r="794" spans="4:5">
      <c r="D794" s="60"/>
      <c r="E794" s="60"/>
    </row>
    <row r="795" spans="4:5">
      <c r="D795" s="60"/>
      <c r="E795" s="60"/>
    </row>
    <row r="796" spans="4:5">
      <c r="D796" s="60"/>
      <c r="E796" s="60"/>
    </row>
    <row r="797" spans="4:5">
      <c r="D797" s="60"/>
      <c r="E797" s="60"/>
    </row>
    <row r="798" spans="4:5">
      <c r="D798" s="60"/>
      <c r="E798" s="60"/>
    </row>
    <row r="799" spans="4:5">
      <c r="D799" s="60"/>
      <c r="E799" s="60"/>
    </row>
    <row r="800" spans="4:5">
      <c r="D800" s="60"/>
      <c r="E800" s="60"/>
    </row>
    <row r="801" spans="4:5">
      <c r="D801" s="60"/>
      <c r="E801" s="60"/>
    </row>
    <row r="802" spans="4:5">
      <c r="D802" s="60"/>
      <c r="E802" s="60"/>
    </row>
    <row r="803" spans="4:5">
      <c r="D803" s="60"/>
      <c r="E803" s="60"/>
    </row>
    <row r="804" spans="4:5">
      <c r="D804" s="60"/>
      <c r="E804" s="60"/>
    </row>
    <row r="805" spans="4:5">
      <c r="D805" s="60"/>
      <c r="E805" s="60"/>
    </row>
    <row r="806" spans="4:5">
      <c r="D806" s="60"/>
      <c r="E806" s="60"/>
    </row>
    <row r="807" spans="4:5">
      <c r="D807" s="60"/>
      <c r="E807" s="60"/>
    </row>
    <row r="808" spans="4:5">
      <c r="D808" s="60"/>
      <c r="E808" s="60"/>
    </row>
    <row r="809" spans="4:5">
      <c r="D809" s="60"/>
      <c r="E809" s="60"/>
    </row>
    <row r="810" spans="4:5">
      <c r="D810" s="60"/>
      <c r="E810" s="60"/>
    </row>
    <row r="811" spans="4:5">
      <c r="D811" s="60"/>
      <c r="E811" s="60"/>
    </row>
    <row r="812" spans="4:5">
      <c r="D812" s="60"/>
      <c r="E812" s="60"/>
    </row>
    <row r="813" spans="4:5">
      <c r="D813" s="60"/>
      <c r="E813" s="60"/>
    </row>
    <row r="814" spans="4:5">
      <c r="D814" s="60"/>
      <c r="E814" s="60"/>
    </row>
    <row r="815" spans="4:5">
      <c r="D815" s="60"/>
      <c r="E815" s="60"/>
    </row>
    <row r="816" spans="4:5">
      <c r="D816" s="60"/>
      <c r="E816" s="60"/>
    </row>
    <row r="817" spans="4:5">
      <c r="D817" s="60"/>
      <c r="E817" s="60"/>
    </row>
    <row r="818" spans="4:5">
      <c r="D818" s="60"/>
      <c r="E818" s="60"/>
    </row>
    <row r="819" spans="4:5">
      <c r="D819" s="60"/>
      <c r="E819" s="60"/>
    </row>
    <row r="820" spans="4:5">
      <c r="D820" s="60"/>
      <c r="E820" s="60"/>
    </row>
    <row r="821" spans="4:5">
      <c r="D821" s="60"/>
      <c r="E821" s="60"/>
    </row>
    <row r="822" spans="4:5">
      <c r="D822" s="60"/>
      <c r="E822" s="60"/>
    </row>
    <row r="823" spans="4:5">
      <c r="D823" s="60"/>
      <c r="E823" s="60"/>
    </row>
    <row r="824" spans="4:5">
      <c r="D824" s="60"/>
      <c r="E824" s="60"/>
    </row>
    <row r="825" spans="4:5">
      <c r="D825" s="60"/>
      <c r="E825" s="60"/>
    </row>
    <row r="826" spans="4:5">
      <c r="D826" s="60"/>
      <c r="E826" s="60"/>
    </row>
    <row r="827" spans="4:5">
      <c r="D827" s="60"/>
      <c r="E827" s="60"/>
    </row>
    <row r="828" spans="4:5">
      <c r="D828" s="60"/>
      <c r="E828" s="60"/>
    </row>
    <row r="829" spans="4:5">
      <c r="D829" s="60"/>
      <c r="E829" s="60"/>
    </row>
    <row r="830" spans="4:5">
      <c r="D830" s="60"/>
      <c r="E830" s="60"/>
    </row>
  </sheetData>
  <mergeCells count="3">
    <mergeCell ref="B7:C7"/>
    <mergeCell ref="E5:N5"/>
    <mergeCell ref="B3:N3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8"/>
  <sheetViews>
    <sheetView topLeftCell="B1" zoomScaleNormal="100" zoomScaleSheetLayoutView="75" workbookViewId="0">
      <selection activeCell="Y13" sqref="Y13"/>
    </sheetView>
  </sheetViews>
  <sheetFormatPr defaultColWidth="9.109375" defaultRowHeight="13.2" outlineLevelRow="1"/>
  <cols>
    <col min="1" max="1" width="11" style="86" hidden="1" customWidth="1"/>
    <col min="2" max="2" width="38.33203125" style="86" customWidth="1"/>
    <col min="3" max="3" width="12.33203125" style="86" customWidth="1"/>
    <col min="4" max="4" width="0.33203125" style="86" customWidth="1"/>
    <col min="5" max="5" width="13.44140625" style="86" customWidth="1"/>
    <col min="6" max="6" width="11.109375" style="86" customWidth="1"/>
    <col min="7" max="7" width="10.33203125" style="86" customWidth="1"/>
    <col min="8" max="8" width="10.6640625" style="86" customWidth="1"/>
    <col min="9" max="10" width="9.109375" style="86" bestFit="1"/>
    <col min="11" max="15" width="8.6640625" style="86" bestFit="1" customWidth="1"/>
    <col min="16" max="18" width="8.6640625" style="86" hidden="1" customWidth="1"/>
    <col min="19" max="22" width="0" style="86" hidden="1" customWidth="1"/>
    <col min="23" max="16384" width="9.109375" style="86"/>
  </cols>
  <sheetData>
    <row r="1" spans="1:22" ht="13.8" thickBot="1"/>
    <row r="2" spans="1:22" ht="17.399999999999999" thickTop="1">
      <c r="B2" s="479" t="s">
        <v>193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  <c r="P2" s="278"/>
      <c r="Q2" s="278"/>
      <c r="R2" s="278"/>
      <c r="S2" s="278"/>
      <c r="T2" s="278"/>
    </row>
    <row r="3" spans="1:22">
      <c r="B3" s="403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404"/>
    </row>
    <row r="4" spans="1:22" s="279" customFormat="1" hidden="1" outlineLevel="1">
      <c r="B4" s="415"/>
      <c r="C4" s="281"/>
      <c r="D4" s="281"/>
      <c r="E4" s="281"/>
      <c r="F4" s="281">
        <v>1</v>
      </c>
      <c r="G4" s="281">
        <f>F4+1</f>
        <v>2</v>
      </c>
      <c r="H4" s="281">
        <f>G4+1</f>
        <v>3</v>
      </c>
      <c r="I4" s="281">
        <f>H4+1</f>
        <v>4</v>
      </c>
      <c r="J4" s="281">
        <f>I4+1</f>
        <v>5</v>
      </c>
      <c r="K4" s="281">
        <f>J4+1</f>
        <v>6</v>
      </c>
      <c r="L4" s="281">
        <f t="shared" ref="L4:R4" si="0">K4+1</f>
        <v>7</v>
      </c>
      <c r="M4" s="281">
        <f t="shared" si="0"/>
        <v>8</v>
      </c>
      <c r="N4" s="281">
        <f t="shared" si="0"/>
        <v>9</v>
      </c>
      <c r="O4" s="417">
        <f t="shared" si="0"/>
        <v>10</v>
      </c>
      <c r="P4" s="280">
        <f t="shared" si="0"/>
        <v>11</v>
      </c>
      <c r="Q4" s="280">
        <f t="shared" si="0"/>
        <v>12</v>
      </c>
      <c r="R4" s="280">
        <f t="shared" si="0"/>
        <v>13</v>
      </c>
      <c r="S4" s="280">
        <f>R4+1</f>
        <v>14</v>
      </c>
      <c r="T4" s="280">
        <f>S4+1</f>
        <v>15</v>
      </c>
    </row>
    <row r="5" spans="1:22" s="279" customFormat="1" ht="27" collapsed="1">
      <c r="B5" s="416" t="s">
        <v>236</v>
      </c>
      <c r="C5" s="281"/>
      <c r="D5" s="281"/>
      <c r="E5" s="282">
        <v>2017</v>
      </c>
      <c r="F5" s="282">
        <v>2018</v>
      </c>
      <c r="G5" s="282">
        <f>F5+1</f>
        <v>2019</v>
      </c>
      <c r="H5" s="282">
        <f t="shared" ref="H5:O5" si="1">G5+1</f>
        <v>2020</v>
      </c>
      <c r="I5" s="282">
        <f t="shared" si="1"/>
        <v>2021</v>
      </c>
      <c r="J5" s="282">
        <f t="shared" si="1"/>
        <v>2022</v>
      </c>
      <c r="K5" s="282">
        <f t="shared" si="1"/>
        <v>2023</v>
      </c>
      <c r="L5" s="282">
        <f t="shared" si="1"/>
        <v>2024</v>
      </c>
      <c r="M5" s="282">
        <f t="shared" si="1"/>
        <v>2025</v>
      </c>
      <c r="N5" s="282">
        <f t="shared" si="1"/>
        <v>2026</v>
      </c>
      <c r="O5" s="405">
        <f t="shared" si="1"/>
        <v>2027</v>
      </c>
      <c r="P5" s="281"/>
      <c r="Q5" s="281"/>
      <c r="R5" s="281"/>
      <c r="S5" s="281"/>
      <c r="T5" s="281"/>
    </row>
    <row r="6" spans="1:22">
      <c r="B6" s="403" t="s">
        <v>93</v>
      </c>
      <c r="C6" s="406"/>
      <c r="D6" s="407">
        <f>3.5%*2.8</f>
        <v>9.8000000000000004E-2</v>
      </c>
      <c r="E6" s="407">
        <f>D6</f>
        <v>9.8000000000000004E-2</v>
      </c>
      <c r="F6" s="407">
        <f>E6</f>
        <v>9.8000000000000004E-2</v>
      </c>
      <c r="G6" s="407">
        <f>F6</f>
        <v>9.8000000000000004E-2</v>
      </c>
      <c r="H6" s="407">
        <f>G6</f>
        <v>9.8000000000000004E-2</v>
      </c>
      <c r="I6" s="407">
        <f t="shared" ref="I6:T6" si="2">H6</f>
        <v>9.8000000000000004E-2</v>
      </c>
      <c r="J6" s="407">
        <f t="shared" ref="J6:O6" si="3">I6</f>
        <v>9.8000000000000004E-2</v>
      </c>
      <c r="K6" s="407">
        <f t="shared" si="3"/>
        <v>9.8000000000000004E-2</v>
      </c>
      <c r="L6" s="407">
        <f t="shared" si="3"/>
        <v>9.8000000000000004E-2</v>
      </c>
      <c r="M6" s="407">
        <f t="shared" si="3"/>
        <v>9.8000000000000004E-2</v>
      </c>
      <c r="N6" s="407">
        <f t="shared" si="3"/>
        <v>9.8000000000000004E-2</v>
      </c>
      <c r="O6" s="408">
        <f t="shared" si="3"/>
        <v>9.8000000000000004E-2</v>
      </c>
      <c r="P6" s="283">
        <f t="shared" si="2"/>
        <v>9.8000000000000004E-2</v>
      </c>
      <c r="Q6" s="283">
        <f t="shared" si="2"/>
        <v>9.8000000000000004E-2</v>
      </c>
      <c r="R6" s="283">
        <f t="shared" si="2"/>
        <v>9.8000000000000004E-2</v>
      </c>
      <c r="S6" s="283">
        <f t="shared" si="2"/>
        <v>9.8000000000000004E-2</v>
      </c>
      <c r="T6" s="283">
        <f t="shared" si="2"/>
        <v>9.8000000000000004E-2</v>
      </c>
    </row>
    <row r="7" spans="1:22">
      <c r="B7" s="403" t="s">
        <v>94</v>
      </c>
      <c r="C7" s="409">
        <v>2</v>
      </c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404"/>
    </row>
    <row r="8" spans="1:22">
      <c r="B8" s="403" t="s">
        <v>95</v>
      </c>
      <c r="C8" s="409">
        <v>10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404"/>
    </row>
    <row r="9" spans="1:22">
      <c r="B9" s="403" t="s">
        <v>97</v>
      </c>
      <c r="C9" s="409">
        <f>C8*C7</f>
        <v>20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404"/>
    </row>
    <row r="10" spans="1:22">
      <c r="B10" s="403" t="s">
        <v>96</v>
      </c>
      <c r="C10" s="409">
        <v>0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404"/>
    </row>
    <row r="11" spans="1:22">
      <c r="B11" s="403" t="s">
        <v>106</v>
      </c>
      <c r="C11" s="287"/>
      <c r="D11" s="287"/>
      <c r="E11" s="287">
        <v>102020.05</v>
      </c>
      <c r="F11" s="287"/>
      <c r="G11" s="287"/>
      <c r="H11" s="287"/>
      <c r="I11" s="287"/>
      <c r="J11" s="287"/>
      <c r="K11" s="287"/>
      <c r="L11" s="287"/>
      <c r="M11" s="287"/>
      <c r="N11" s="287"/>
      <c r="O11" s="404"/>
    </row>
    <row r="12" spans="1:22">
      <c r="B12" s="320" t="s">
        <v>114</v>
      </c>
      <c r="C12" s="287"/>
      <c r="D12" s="287"/>
      <c r="E12" s="287"/>
      <c r="F12" s="287">
        <f>C24+D24</f>
        <v>9613.300926805523</v>
      </c>
      <c r="G12" s="287">
        <f>SUM(E24:F24)</f>
        <v>8979.9323730659653</v>
      </c>
      <c r="H12" s="287">
        <f>SUM(G24:H24)</f>
        <v>8284.4937010599315</v>
      </c>
      <c r="I12" s="287">
        <f>SUM(I24:J24)</f>
        <v>7520.9020391973063</v>
      </c>
      <c r="J12" s="287">
        <f>SUM(K24:L24)</f>
        <v>6682.4783944721457</v>
      </c>
      <c r="K12" s="287">
        <f>M24+N24</f>
        <v>5761.8892325639154</v>
      </c>
      <c r="L12" s="287">
        <f>SUM(O24:P24)</f>
        <v>4751.0823327886819</v>
      </c>
      <c r="M12" s="287">
        <f>Q24+R24</f>
        <v>3641.2163568354681</v>
      </c>
      <c r="N12" s="287">
        <f>S24+T24</f>
        <v>2422.5835152388495</v>
      </c>
      <c r="O12" s="404">
        <f>U24+V24</f>
        <v>1084.5246551657567</v>
      </c>
      <c r="P12" s="284">
        <f>SUM(W24:X24)</f>
        <v>0</v>
      </c>
      <c r="Q12" s="284">
        <f>SUM(Y24:Z24)</f>
        <v>0</v>
      </c>
      <c r="R12" s="284">
        <f>SUM(AA24:AB24)</f>
        <v>0</v>
      </c>
      <c r="S12" s="284">
        <f>SUM(AC24:AD24)</f>
        <v>0</v>
      </c>
      <c r="T12" s="284">
        <f>SUM(AE24:AF24)</f>
        <v>0</v>
      </c>
      <c r="V12" s="285"/>
    </row>
    <row r="13" spans="1:22" ht="15.6">
      <c r="A13" s="286" t="s">
        <v>220</v>
      </c>
      <c r="B13" s="320" t="s">
        <v>227</v>
      </c>
      <c r="C13" s="287"/>
      <c r="D13" s="287"/>
      <c r="E13" s="287"/>
      <c r="F13" s="287">
        <f>F12*$A$14</f>
        <v>0</v>
      </c>
      <c r="G13" s="287">
        <f>G12*$A$14</f>
        <v>0</v>
      </c>
      <c r="H13" s="287">
        <f>H12*$A$14</f>
        <v>0</v>
      </c>
      <c r="I13" s="287">
        <f>I12*$A$14</f>
        <v>0</v>
      </c>
      <c r="J13" s="287">
        <f>J12*$A$14</f>
        <v>0</v>
      </c>
      <c r="K13" s="287"/>
      <c r="L13" s="287"/>
      <c r="M13" s="287"/>
      <c r="N13" s="287"/>
      <c r="O13" s="404"/>
      <c r="P13" s="287"/>
      <c r="Q13" s="287"/>
      <c r="R13" s="287"/>
      <c r="S13" s="287"/>
      <c r="T13" s="287"/>
      <c r="V13" s="285"/>
    </row>
    <row r="14" spans="1:22" ht="15.6">
      <c r="A14" s="288">
        <v>0</v>
      </c>
      <c r="B14" s="320" t="s">
        <v>221</v>
      </c>
      <c r="C14" s="287"/>
      <c r="D14" s="287"/>
      <c r="E14" s="287"/>
      <c r="F14" s="287">
        <f>F12-F13</f>
        <v>9613.300926805523</v>
      </c>
      <c r="G14" s="287">
        <f t="shared" ref="G14:O14" si="4">G12-G13</f>
        <v>8979.9323730659653</v>
      </c>
      <c r="H14" s="287">
        <f t="shared" si="4"/>
        <v>8284.4937010599315</v>
      </c>
      <c r="I14" s="287">
        <f t="shared" si="4"/>
        <v>7520.9020391973063</v>
      </c>
      <c r="J14" s="287">
        <f t="shared" si="4"/>
        <v>6682.4783944721457</v>
      </c>
      <c r="K14" s="287">
        <f t="shared" si="4"/>
        <v>5761.8892325639154</v>
      </c>
      <c r="L14" s="287">
        <f t="shared" si="4"/>
        <v>4751.0823327886819</v>
      </c>
      <c r="M14" s="287">
        <f t="shared" si="4"/>
        <v>3641.2163568354681</v>
      </c>
      <c r="N14" s="287">
        <f t="shared" si="4"/>
        <v>2422.5835152388495</v>
      </c>
      <c r="O14" s="404">
        <f t="shared" si="4"/>
        <v>1084.5246551657567</v>
      </c>
      <c r="P14" s="287"/>
      <c r="Q14" s="287"/>
      <c r="R14" s="287"/>
      <c r="S14" s="287"/>
      <c r="T14" s="287"/>
      <c r="V14" s="285"/>
    </row>
    <row r="15" spans="1:22">
      <c r="B15" s="320" t="s">
        <v>18</v>
      </c>
      <c r="C15" s="287"/>
      <c r="D15" s="287"/>
      <c r="E15" s="287"/>
      <c r="F15" s="287">
        <f>SUM(C25:D25)</f>
        <v>6462.9444259138454</v>
      </c>
      <c r="G15" s="287">
        <f>SUM(E25:F25)</f>
        <v>7096.3129796534031</v>
      </c>
      <c r="H15" s="287">
        <f>SUM(G25:H25)</f>
        <v>7791.7516516594369</v>
      </c>
      <c r="I15" s="287">
        <f>SUM(I25:J25)</f>
        <v>8555.3433135220621</v>
      </c>
      <c r="J15" s="287">
        <f>SUM(K25:L25)</f>
        <v>9393.7669582472226</v>
      </c>
      <c r="K15" s="287">
        <f>SUM(M25:N25)</f>
        <v>10314.356120155451</v>
      </c>
      <c r="L15" s="287">
        <f>SUM(O25:P25)</f>
        <v>11325.163019930686</v>
      </c>
      <c r="M15" s="287">
        <f>SUM(Q25:R25)</f>
        <v>12435.0289958839</v>
      </c>
      <c r="N15" s="287">
        <f>SUM(S25:T25)</f>
        <v>13653.661837480518</v>
      </c>
      <c r="O15" s="404">
        <f>SUM(U25:V25)</f>
        <v>14991.720697553612</v>
      </c>
      <c r="P15" s="287">
        <f>SUM(W25:X25)</f>
        <v>0</v>
      </c>
      <c r="Q15" s="287">
        <f>SUM(Y25:Z25)</f>
        <v>0</v>
      </c>
      <c r="R15" s="287">
        <f>SUM(AA25:AB25)</f>
        <v>0</v>
      </c>
      <c r="S15" s="287">
        <f>SUM(AC25:AD25)</f>
        <v>0</v>
      </c>
      <c r="T15" s="287">
        <f>SUM(AE25:AF25)</f>
        <v>0</v>
      </c>
      <c r="V15" s="285">
        <f>SUM(F15:T15)-SUM(C25:V25)</f>
        <v>0</v>
      </c>
    </row>
    <row r="16" spans="1:22">
      <c r="B16" s="410" t="s">
        <v>70</v>
      </c>
      <c r="C16" s="290"/>
      <c r="D16" s="290">
        <f>D15+D12</f>
        <v>0</v>
      </c>
      <c r="E16" s="290">
        <f t="shared" ref="E16:J16" si="5">E15+E12</f>
        <v>0</v>
      </c>
      <c r="F16" s="290">
        <f t="shared" si="5"/>
        <v>16076.245352719368</v>
      </c>
      <c r="G16" s="290">
        <f t="shared" si="5"/>
        <v>16076.245352719368</v>
      </c>
      <c r="H16" s="290">
        <f t="shared" si="5"/>
        <v>16076.245352719368</v>
      </c>
      <c r="I16" s="290">
        <f t="shared" si="5"/>
        <v>16076.245352719368</v>
      </c>
      <c r="J16" s="290">
        <f t="shared" si="5"/>
        <v>16076.245352719368</v>
      </c>
      <c r="K16" s="290">
        <f t="shared" ref="K16:T16" si="6">K15+K12</f>
        <v>16076.245352719367</v>
      </c>
      <c r="L16" s="290">
        <f t="shared" si="6"/>
        <v>16076.245352719368</v>
      </c>
      <c r="M16" s="290">
        <f t="shared" si="6"/>
        <v>16076.245352719368</v>
      </c>
      <c r="N16" s="290">
        <f t="shared" si="6"/>
        <v>16076.245352719368</v>
      </c>
      <c r="O16" s="411">
        <f t="shared" si="6"/>
        <v>16076.245352719368</v>
      </c>
      <c r="P16" s="290">
        <f t="shared" si="6"/>
        <v>0</v>
      </c>
      <c r="Q16" s="290">
        <f t="shared" si="6"/>
        <v>0</v>
      </c>
      <c r="R16" s="290">
        <f t="shared" si="6"/>
        <v>0</v>
      </c>
      <c r="S16" s="290">
        <f t="shared" si="6"/>
        <v>0</v>
      </c>
      <c r="T16" s="290">
        <f t="shared" si="6"/>
        <v>0</v>
      </c>
    </row>
    <row r="17" spans="2:32" ht="13.8" thickBot="1">
      <c r="B17" s="412" t="s">
        <v>71</v>
      </c>
      <c r="C17" s="413"/>
      <c r="D17" s="413">
        <f>C11-D15+D11</f>
        <v>0</v>
      </c>
      <c r="E17" s="413">
        <f>E11</f>
        <v>102020.05</v>
      </c>
      <c r="F17" s="413">
        <f t="shared" ref="F17:M17" si="7">+E17+F11-F15</f>
        <v>95557.105574086163</v>
      </c>
      <c r="G17" s="413">
        <f t="shared" si="7"/>
        <v>88460.792594432758</v>
      </c>
      <c r="H17" s="413">
        <f t="shared" si="7"/>
        <v>80669.040942773325</v>
      </c>
      <c r="I17" s="413">
        <f t="shared" si="7"/>
        <v>72113.697629251255</v>
      </c>
      <c r="J17" s="413">
        <f t="shared" si="7"/>
        <v>62719.930671004033</v>
      </c>
      <c r="K17" s="413">
        <f t="shared" si="7"/>
        <v>52405.574550848585</v>
      </c>
      <c r="L17" s="413">
        <f t="shared" si="7"/>
        <v>41080.411530917903</v>
      </c>
      <c r="M17" s="413">
        <f t="shared" si="7"/>
        <v>28645.382535034005</v>
      </c>
      <c r="N17" s="413">
        <f t="shared" ref="N17:T17" si="8">+M17+N11-N15</f>
        <v>14991.720697553486</v>
      </c>
      <c r="O17" s="414">
        <f t="shared" si="8"/>
        <v>-1.255102688446641E-10</v>
      </c>
      <c r="P17" s="85">
        <f t="shared" si="8"/>
        <v>-1.255102688446641E-10</v>
      </c>
      <c r="Q17" s="85">
        <f t="shared" si="8"/>
        <v>-1.255102688446641E-10</v>
      </c>
      <c r="R17" s="85">
        <f t="shared" si="8"/>
        <v>-1.255102688446641E-10</v>
      </c>
      <c r="S17" s="85">
        <f t="shared" si="8"/>
        <v>-1.255102688446641E-10</v>
      </c>
      <c r="T17" s="85">
        <f t="shared" si="8"/>
        <v>-1.255102688446641E-10</v>
      </c>
    </row>
    <row r="18" spans="2:32" ht="13.8" thickTop="1"/>
    <row r="20" spans="2:32" ht="13.8" hidden="1" thickBot="1">
      <c r="B20" s="293" t="s">
        <v>135</v>
      </c>
      <c r="C20" s="294">
        <f>(SQRT(1+$D$6)-1)</f>
        <v>4.785495179437893E-2</v>
      </c>
    </row>
    <row r="21" spans="2:32" hidden="1">
      <c r="B21" s="295" t="s">
        <v>95</v>
      </c>
      <c r="C21" s="296"/>
      <c r="D21" s="297">
        <v>1</v>
      </c>
      <c r="E21" s="296"/>
      <c r="F21" s="297">
        <f>D21+1</f>
        <v>2</v>
      </c>
      <c r="G21" s="296"/>
      <c r="H21" s="297">
        <f>F21+1</f>
        <v>3</v>
      </c>
      <c r="I21" s="296"/>
      <c r="J21" s="297">
        <f>H21+1</f>
        <v>4</v>
      </c>
      <c r="K21" s="296"/>
      <c r="L21" s="298">
        <f>J21+1</f>
        <v>5</v>
      </c>
      <c r="M21" s="296"/>
      <c r="N21" s="297">
        <f>L21+1</f>
        <v>6</v>
      </c>
      <c r="O21" s="296"/>
      <c r="P21" s="297">
        <f>N21+1</f>
        <v>7</v>
      </c>
      <c r="Q21" s="296"/>
      <c r="R21" s="297">
        <f>P21+1</f>
        <v>8</v>
      </c>
      <c r="S21" s="296"/>
      <c r="T21" s="297">
        <f>R21+1</f>
        <v>9</v>
      </c>
      <c r="U21" s="296"/>
      <c r="V21" s="297">
        <f>T21+1</f>
        <v>10</v>
      </c>
      <c r="W21" s="296"/>
      <c r="X21" s="297">
        <f>V21+1</f>
        <v>11</v>
      </c>
      <c r="Y21" s="296"/>
      <c r="Z21" s="297">
        <f>X21+1</f>
        <v>12</v>
      </c>
      <c r="AA21" s="296"/>
      <c r="AB21" s="297">
        <f>Z21+1</f>
        <v>13</v>
      </c>
      <c r="AC21" s="296"/>
      <c r="AD21" s="297">
        <f>AB21+1</f>
        <v>14</v>
      </c>
      <c r="AE21" s="296"/>
      <c r="AF21" s="297">
        <f>AD21+1</f>
        <v>15</v>
      </c>
    </row>
    <row r="22" spans="2:32" hidden="1">
      <c r="B22" s="299" t="s">
        <v>132</v>
      </c>
      <c r="C22" s="300">
        <v>1</v>
      </c>
      <c r="D22" s="301">
        <f>C22+1</f>
        <v>2</v>
      </c>
      <c r="E22" s="302">
        <f>D22+1</f>
        <v>3</v>
      </c>
      <c r="F22" s="301">
        <f t="shared" ref="F22:Q22" si="9">E22+1</f>
        <v>4</v>
      </c>
      <c r="G22" s="302">
        <f t="shared" si="9"/>
        <v>5</v>
      </c>
      <c r="H22" s="301">
        <f t="shared" si="9"/>
        <v>6</v>
      </c>
      <c r="I22" s="302">
        <f t="shared" si="9"/>
        <v>7</v>
      </c>
      <c r="J22" s="301">
        <f t="shared" si="9"/>
        <v>8</v>
      </c>
      <c r="K22" s="301">
        <f t="shared" si="9"/>
        <v>9</v>
      </c>
      <c r="L22" s="301">
        <f t="shared" si="9"/>
        <v>10</v>
      </c>
      <c r="M22" s="302">
        <f>L22+1</f>
        <v>11</v>
      </c>
      <c r="N22" s="301">
        <f t="shared" si="9"/>
        <v>12</v>
      </c>
      <c r="O22" s="302">
        <f t="shared" si="9"/>
        <v>13</v>
      </c>
      <c r="P22" s="301">
        <f t="shared" si="9"/>
        <v>14</v>
      </c>
      <c r="Q22" s="302">
        <f t="shared" si="9"/>
        <v>15</v>
      </c>
      <c r="R22" s="301">
        <f>Q22+1</f>
        <v>16</v>
      </c>
      <c r="S22" s="302">
        <f>R22+1</f>
        <v>17</v>
      </c>
      <c r="T22" s="301">
        <f>S22+1</f>
        <v>18</v>
      </c>
      <c r="U22" s="302">
        <f>T22+1</f>
        <v>19</v>
      </c>
      <c r="V22" s="301">
        <f>U22+1</f>
        <v>20</v>
      </c>
      <c r="W22" s="302">
        <f t="shared" ref="W22:AF22" si="10">V22+1</f>
        <v>21</v>
      </c>
      <c r="X22" s="301">
        <f t="shared" si="10"/>
        <v>22</v>
      </c>
      <c r="Y22" s="302">
        <f t="shared" si="10"/>
        <v>23</v>
      </c>
      <c r="Z22" s="301">
        <f t="shared" si="10"/>
        <v>24</v>
      </c>
      <c r="AA22" s="302">
        <f t="shared" si="10"/>
        <v>25</v>
      </c>
      <c r="AB22" s="301">
        <f t="shared" si="10"/>
        <v>26</v>
      </c>
      <c r="AC22" s="302">
        <f t="shared" si="10"/>
        <v>27</v>
      </c>
      <c r="AD22" s="301">
        <f t="shared" si="10"/>
        <v>28</v>
      </c>
      <c r="AE22" s="302">
        <f t="shared" si="10"/>
        <v>29</v>
      </c>
      <c r="AF22" s="301">
        <f t="shared" si="10"/>
        <v>30</v>
      </c>
    </row>
    <row r="23" spans="2:32" hidden="1">
      <c r="B23" s="303" t="s">
        <v>129</v>
      </c>
      <c r="C23" s="304">
        <f>-PMT(SQRT(1+$D$6)-1,$C$9,$E$17)</f>
        <v>8038.1226763596842</v>
      </c>
      <c r="D23" s="304">
        <f>C23</f>
        <v>8038.1226763596842</v>
      </c>
      <c r="E23" s="304">
        <f t="shared" ref="E23:J23" si="11">D23</f>
        <v>8038.1226763596842</v>
      </c>
      <c r="F23" s="304">
        <f t="shared" si="11"/>
        <v>8038.1226763596842</v>
      </c>
      <c r="G23" s="304">
        <f t="shared" si="11"/>
        <v>8038.1226763596842</v>
      </c>
      <c r="H23" s="304">
        <f t="shared" si="11"/>
        <v>8038.1226763596842</v>
      </c>
      <c r="I23" s="304">
        <f t="shared" si="11"/>
        <v>8038.1226763596842</v>
      </c>
      <c r="J23" s="304">
        <f t="shared" si="11"/>
        <v>8038.1226763596842</v>
      </c>
      <c r="K23" s="304">
        <f>J23</f>
        <v>8038.1226763596842</v>
      </c>
      <c r="L23" s="304">
        <f>K23</f>
        <v>8038.1226763596842</v>
      </c>
      <c r="M23" s="304">
        <f t="shared" ref="M23:V23" si="12">L23</f>
        <v>8038.1226763596842</v>
      </c>
      <c r="N23" s="304">
        <f t="shared" si="12"/>
        <v>8038.1226763596842</v>
      </c>
      <c r="O23" s="304">
        <f t="shared" si="12"/>
        <v>8038.1226763596842</v>
      </c>
      <c r="P23" s="304">
        <f t="shared" si="12"/>
        <v>8038.1226763596842</v>
      </c>
      <c r="Q23" s="304">
        <f t="shared" si="12"/>
        <v>8038.1226763596842</v>
      </c>
      <c r="R23" s="304">
        <f t="shared" si="12"/>
        <v>8038.1226763596842</v>
      </c>
      <c r="S23" s="304">
        <f t="shared" si="12"/>
        <v>8038.1226763596842</v>
      </c>
      <c r="T23" s="304">
        <f t="shared" si="12"/>
        <v>8038.1226763596842</v>
      </c>
      <c r="U23" s="304">
        <f t="shared" si="12"/>
        <v>8038.1226763596842</v>
      </c>
      <c r="V23" s="304">
        <f t="shared" si="12"/>
        <v>8038.1226763596842</v>
      </c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</row>
    <row r="24" spans="2:32" hidden="1">
      <c r="B24" s="303" t="s">
        <v>131</v>
      </c>
      <c r="C24" s="304">
        <f>-IPMT(SQRT(1+$D$6)-1,C22,$C$9,$E$17)</f>
        <v>4882.1645748101282</v>
      </c>
      <c r="D24" s="304">
        <f t="shared" ref="D24:V24" si="13">-IPMT(SQRT(1+$D$6)-1,D22,$C$9,$E$17)</f>
        <v>4731.1363519953948</v>
      </c>
      <c r="E24" s="304">
        <f t="shared" si="13"/>
        <v>4572.8806808582713</v>
      </c>
      <c r="F24" s="304">
        <f t="shared" si="13"/>
        <v>4407.051692207694</v>
      </c>
      <c r="G24" s="304">
        <f t="shared" si="13"/>
        <v>4233.286965299133</v>
      </c>
      <c r="H24" s="304">
        <f t="shared" si="13"/>
        <v>4051.2067357607984</v>
      </c>
      <c r="I24" s="304">
        <f t="shared" si="13"/>
        <v>3860.4130656151992</v>
      </c>
      <c r="J24" s="304">
        <f t="shared" si="13"/>
        <v>3660.4889735821075</v>
      </c>
      <c r="K24" s="304">
        <f t="shared" si="13"/>
        <v>3450.9975237622389</v>
      </c>
      <c r="L24" s="304">
        <f t="shared" si="13"/>
        <v>3231.4808707099064</v>
      </c>
      <c r="M24" s="304">
        <f t="shared" si="13"/>
        <v>3001.4592588076898</v>
      </c>
      <c r="N24" s="304">
        <f t="shared" si="13"/>
        <v>2760.429973756226</v>
      </c>
      <c r="O24" s="304">
        <f t="shared" si="13"/>
        <v>2507.866243887594</v>
      </c>
      <c r="P24" s="304">
        <f t="shared" si="13"/>
        <v>2243.2160889010879</v>
      </c>
      <c r="Q24" s="304">
        <f t="shared" si="13"/>
        <v>1965.9011135053267</v>
      </c>
      <c r="R24" s="304">
        <f t="shared" si="13"/>
        <v>1675.3152433301414</v>
      </c>
      <c r="S24" s="304">
        <f t="shared" si="13"/>
        <v>1370.8234003456007</v>
      </c>
      <c r="T24" s="304">
        <f t="shared" si="13"/>
        <v>1051.7601148932488</v>
      </c>
      <c r="U24" s="304">
        <f t="shared" si="13"/>
        <v>717.42807129621883</v>
      </c>
      <c r="V24" s="304">
        <f t="shared" si="13"/>
        <v>367.09658386953782</v>
      </c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</row>
    <row r="25" spans="2:32" hidden="1">
      <c r="B25" s="303" t="s">
        <v>130</v>
      </c>
      <c r="C25" s="304">
        <f>-PPMT(SQRT(1+$D$6)-1,C22,$C$9,$E$17)</f>
        <v>3155.958101549556</v>
      </c>
      <c r="D25" s="304">
        <f t="shared" ref="D25:V25" si="14">-PPMT(SQRT(1+$D$6)-1,D22,$C$9,$E$17)</f>
        <v>3306.9863243642894</v>
      </c>
      <c r="E25" s="304">
        <f t="shared" si="14"/>
        <v>3465.2419955014129</v>
      </c>
      <c r="F25" s="304">
        <f t="shared" si="14"/>
        <v>3631.0709841519902</v>
      </c>
      <c r="G25" s="304">
        <f t="shared" si="14"/>
        <v>3804.8357110605511</v>
      </c>
      <c r="H25" s="304">
        <f t="shared" si="14"/>
        <v>3986.9159405988858</v>
      </c>
      <c r="I25" s="304">
        <f t="shared" si="14"/>
        <v>4177.709610744485</v>
      </c>
      <c r="J25" s="304">
        <f t="shared" si="14"/>
        <v>4377.6337027775771</v>
      </c>
      <c r="K25" s="304">
        <f t="shared" si="14"/>
        <v>4587.1251525974458</v>
      </c>
      <c r="L25" s="304">
        <f t="shared" si="14"/>
        <v>4806.6418056497778</v>
      </c>
      <c r="M25" s="304">
        <f t="shared" si="14"/>
        <v>5036.6634175519939</v>
      </c>
      <c r="N25" s="304">
        <f t="shared" si="14"/>
        <v>5277.6927026034582</v>
      </c>
      <c r="O25" s="304">
        <f t="shared" si="14"/>
        <v>5530.2564324720897</v>
      </c>
      <c r="P25" s="304">
        <f t="shared" si="14"/>
        <v>5794.9065874585958</v>
      </c>
      <c r="Q25" s="304">
        <f t="shared" si="14"/>
        <v>6072.2215628543572</v>
      </c>
      <c r="R25" s="304">
        <f t="shared" si="14"/>
        <v>6362.8074330295431</v>
      </c>
      <c r="S25" s="304">
        <f t="shared" si="14"/>
        <v>6667.2992760140833</v>
      </c>
      <c r="T25" s="304">
        <f t="shared" si="14"/>
        <v>6986.3625614664352</v>
      </c>
      <c r="U25" s="304">
        <f t="shared" si="14"/>
        <v>7320.6946050634651</v>
      </c>
      <c r="V25" s="304">
        <f t="shared" si="14"/>
        <v>7671.0260924901468</v>
      </c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</row>
    <row r="26" spans="2:32" hidden="1">
      <c r="B26" s="299" t="s">
        <v>176</v>
      </c>
      <c r="C26" s="304">
        <f>E17-C25</f>
        <v>98864.091898450453</v>
      </c>
      <c r="D26" s="304">
        <f>C26-D25</f>
        <v>95557.105574086163</v>
      </c>
      <c r="E26" s="304">
        <f t="shared" ref="E26:V26" si="15">D26-E25</f>
        <v>92091.863578584744</v>
      </c>
      <c r="F26" s="304">
        <f t="shared" si="15"/>
        <v>88460.792594432758</v>
      </c>
      <c r="G26" s="304">
        <f t="shared" si="15"/>
        <v>84655.956883372201</v>
      </c>
      <c r="H26" s="304">
        <f t="shared" si="15"/>
        <v>80669.04094277331</v>
      </c>
      <c r="I26" s="304">
        <f t="shared" si="15"/>
        <v>76491.331332028829</v>
      </c>
      <c r="J26" s="304">
        <f t="shared" si="15"/>
        <v>72113.697629251255</v>
      </c>
      <c r="K26" s="304">
        <f t="shared" si="15"/>
        <v>67526.572476653804</v>
      </c>
      <c r="L26" s="304">
        <f t="shared" si="15"/>
        <v>62719.930671004025</v>
      </c>
      <c r="M26" s="304">
        <f t="shared" si="15"/>
        <v>57683.267253452032</v>
      </c>
      <c r="N26" s="304">
        <f t="shared" si="15"/>
        <v>52405.574550848571</v>
      </c>
      <c r="O26" s="304">
        <f t="shared" si="15"/>
        <v>46875.318118376483</v>
      </c>
      <c r="P26" s="304">
        <f t="shared" si="15"/>
        <v>41080.411530917889</v>
      </c>
      <c r="Q26" s="304">
        <f t="shared" si="15"/>
        <v>35008.189968063532</v>
      </c>
      <c r="R26" s="304">
        <f t="shared" si="15"/>
        <v>28645.38253503399</v>
      </c>
      <c r="S26" s="304">
        <f t="shared" si="15"/>
        <v>21978.083259019906</v>
      </c>
      <c r="T26" s="304">
        <f t="shared" si="15"/>
        <v>14991.720697553472</v>
      </c>
      <c r="U26" s="304">
        <f t="shared" si="15"/>
        <v>7671.0260924900067</v>
      </c>
      <c r="V26" s="304">
        <f t="shared" si="15"/>
        <v>-1.4006218407303095E-10</v>
      </c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</row>
    <row r="27" spans="2:32" hidden="1">
      <c r="B27" s="292" t="s">
        <v>133</v>
      </c>
      <c r="C27" s="305">
        <f t="shared" ref="C27:V27" si="16">C24+C25-C23</f>
        <v>0</v>
      </c>
      <c r="D27" s="305">
        <f t="shared" si="16"/>
        <v>0</v>
      </c>
      <c r="E27" s="305">
        <f t="shared" si="16"/>
        <v>0</v>
      </c>
      <c r="F27" s="305">
        <f t="shared" si="16"/>
        <v>0</v>
      </c>
      <c r="G27" s="305">
        <f t="shared" si="16"/>
        <v>0</v>
      </c>
      <c r="H27" s="305">
        <f t="shared" si="16"/>
        <v>0</v>
      </c>
      <c r="I27" s="305">
        <f t="shared" si="16"/>
        <v>0</v>
      </c>
      <c r="J27" s="305">
        <f t="shared" si="16"/>
        <v>0</v>
      </c>
      <c r="K27" s="305">
        <f t="shared" si="16"/>
        <v>0</v>
      </c>
      <c r="L27" s="305">
        <f t="shared" si="16"/>
        <v>0</v>
      </c>
      <c r="M27" s="305">
        <f t="shared" si="16"/>
        <v>0</v>
      </c>
      <c r="N27" s="305">
        <f t="shared" si="16"/>
        <v>0</v>
      </c>
      <c r="O27" s="305">
        <f t="shared" si="16"/>
        <v>0</v>
      </c>
      <c r="P27" s="305">
        <f t="shared" si="16"/>
        <v>0</v>
      </c>
      <c r="Q27" s="305">
        <f t="shared" si="16"/>
        <v>0</v>
      </c>
      <c r="R27" s="305">
        <f t="shared" si="16"/>
        <v>0</v>
      </c>
      <c r="S27" s="305">
        <f t="shared" si="16"/>
        <v>0</v>
      </c>
      <c r="T27" s="305">
        <f t="shared" si="16"/>
        <v>0</v>
      </c>
      <c r="U27" s="305">
        <f t="shared" si="16"/>
        <v>0</v>
      </c>
      <c r="V27" s="305">
        <f t="shared" si="16"/>
        <v>0</v>
      </c>
      <c r="W27" s="305">
        <f t="shared" ref="W27:AF27" si="17">W24+W25-W23</f>
        <v>0</v>
      </c>
      <c r="X27" s="305">
        <f t="shared" si="17"/>
        <v>0</v>
      </c>
      <c r="Y27" s="305">
        <f t="shared" si="17"/>
        <v>0</v>
      </c>
      <c r="Z27" s="305">
        <f t="shared" si="17"/>
        <v>0</v>
      </c>
      <c r="AA27" s="305">
        <f t="shared" si="17"/>
        <v>0</v>
      </c>
      <c r="AB27" s="305">
        <f t="shared" si="17"/>
        <v>0</v>
      </c>
      <c r="AC27" s="305">
        <f t="shared" si="17"/>
        <v>0</v>
      </c>
      <c r="AD27" s="305">
        <f t="shared" si="17"/>
        <v>0</v>
      </c>
      <c r="AE27" s="305">
        <f t="shared" si="17"/>
        <v>0</v>
      </c>
      <c r="AF27" s="305">
        <f t="shared" si="17"/>
        <v>0</v>
      </c>
    </row>
    <row r="28" spans="2:32" hidden="1">
      <c r="B28" s="292" t="s">
        <v>134</v>
      </c>
      <c r="C28" s="305">
        <f>SUM(C25:V25)-E17</f>
        <v>1.3096723705530167E-10</v>
      </c>
    </row>
  </sheetData>
  <mergeCells count="1">
    <mergeCell ref="B2:O2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53"/>
  <sheetViews>
    <sheetView zoomScaleNormal="100" zoomScaleSheetLayoutView="75" workbookViewId="0">
      <selection activeCell="E46" sqref="E46"/>
    </sheetView>
  </sheetViews>
  <sheetFormatPr defaultColWidth="9.109375" defaultRowHeight="13.2" outlineLevelRow="1"/>
  <cols>
    <col min="1" max="1" width="9.109375" style="3"/>
    <col min="2" max="2" width="4.88671875" style="3" customWidth="1"/>
    <col min="3" max="3" width="2.5546875" style="3" customWidth="1"/>
    <col min="4" max="4" width="35.6640625" style="3" customWidth="1"/>
    <col min="5" max="5" width="16.6640625" style="3" customWidth="1"/>
    <col min="6" max="6" width="11" style="3" customWidth="1"/>
    <col min="7" max="16384" width="9.109375" style="3"/>
  </cols>
  <sheetData>
    <row r="4" spans="3:6" ht="36.75" customHeight="1">
      <c r="C4" s="482" t="s">
        <v>191</v>
      </c>
      <c r="D4" s="474"/>
      <c r="E4" s="474"/>
      <c r="F4" s="483"/>
    </row>
    <row r="5" spans="3:6" s="52" customFormat="1" ht="27.75" hidden="1" customHeight="1" outlineLevel="1" thickBot="1">
      <c r="C5" s="232" t="s">
        <v>86</v>
      </c>
      <c r="D5" s="50"/>
      <c r="E5" s="51" t="s">
        <v>81</v>
      </c>
      <c r="F5" s="233" t="s">
        <v>85</v>
      </c>
    </row>
    <row r="6" spans="3:6" s="52" customFormat="1" ht="14.25" hidden="1" customHeight="1" outlineLevel="1" thickBot="1">
      <c r="C6" s="234"/>
      <c r="D6" s="53" t="s">
        <v>102</v>
      </c>
      <c r="E6" s="54"/>
      <c r="F6" s="235"/>
    </row>
    <row r="7" spans="3:6" ht="4.5" hidden="1" customHeight="1" outlineLevel="1" thickBot="1">
      <c r="C7" s="236"/>
      <c r="D7" s="13"/>
      <c r="E7" s="32"/>
      <c r="F7" s="237"/>
    </row>
    <row r="8" spans="3:6" hidden="1" outlineLevel="1">
      <c r="C8" s="238" t="s">
        <v>76</v>
      </c>
      <c r="D8" s="39"/>
      <c r="E8" s="39"/>
      <c r="F8" s="239"/>
    </row>
    <row r="9" spans="3:6" s="49" customFormat="1" hidden="1" outlineLevel="1">
      <c r="C9" s="240"/>
      <c r="D9" s="20" t="s">
        <v>175</v>
      </c>
      <c r="E9" s="71">
        <f>360+360</f>
        <v>720</v>
      </c>
      <c r="F9" s="241">
        <f>300000/340.75</f>
        <v>880.4108584005869</v>
      </c>
    </row>
    <row r="10" spans="3:6" s="49" customFormat="1" hidden="1" outlineLevel="1">
      <c r="C10" s="240"/>
      <c r="D10" s="20" t="s">
        <v>72</v>
      </c>
      <c r="E10" s="71">
        <v>600</v>
      </c>
      <c r="F10" s="241">
        <f>200000/340.75</f>
        <v>586.94057226705797</v>
      </c>
    </row>
    <row r="11" spans="3:6" s="49" customFormat="1" hidden="1" outlineLevel="1">
      <c r="C11" s="240"/>
      <c r="D11" s="20" t="s">
        <v>109</v>
      </c>
      <c r="E11" s="71">
        <v>0</v>
      </c>
      <c r="F11" s="242">
        <v>0</v>
      </c>
    </row>
    <row r="12" spans="3:6" s="49" customFormat="1" hidden="1" outlineLevel="1">
      <c r="C12" s="240"/>
      <c r="D12" s="20" t="s">
        <v>73</v>
      </c>
      <c r="E12" s="71">
        <v>0</v>
      </c>
      <c r="F12" s="242">
        <v>0</v>
      </c>
    </row>
    <row r="13" spans="3:6" s="49" customFormat="1" hidden="1" outlineLevel="1">
      <c r="C13" s="243"/>
      <c r="D13" s="40" t="s">
        <v>74</v>
      </c>
      <c r="E13" s="73"/>
      <c r="F13" s="244"/>
    </row>
    <row r="14" spans="3:6" s="49" customFormat="1" hidden="1" outlineLevel="1">
      <c r="C14" s="240"/>
      <c r="D14" s="20" t="s">
        <v>75</v>
      </c>
      <c r="E14" s="71"/>
      <c r="F14" s="241"/>
    </row>
    <row r="15" spans="3:6" s="8" customFormat="1" hidden="1" outlineLevel="1">
      <c r="C15" s="245"/>
      <c r="D15" s="22" t="s">
        <v>118</v>
      </c>
      <c r="E15" s="246"/>
      <c r="F15" s="247"/>
    </row>
    <row r="16" spans="3:6" hidden="1" outlineLevel="1">
      <c r="C16" s="248" t="s">
        <v>82</v>
      </c>
      <c r="D16" s="46"/>
      <c r="E16" s="56"/>
      <c r="F16" s="249"/>
    </row>
    <row r="17" spans="3:6" ht="4.5" customHeight="1" collapsed="1">
      <c r="C17" s="254"/>
      <c r="D17" s="58"/>
      <c r="E17" s="255"/>
      <c r="F17" s="255"/>
    </row>
    <row r="18" spans="3:6" ht="13.8" hidden="1" outlineLevel="1">
      <c r="C18" s="256" t="s">
        <v>32</v>
      </c>
      <c r="D18" s="13"/>
      <c r="E18" s="57"/>
      <c r="F18" s="57"/>
    </row>
    <row r="19" spans="3:6" s="49" customFormat="1" hidden="1" outlineLevel="1">
      <c r="C19" s="74"/>
      <c r="D19" s="74" t="s">
        <v>77</v>
      </c>
      <c r="E19" s="72"/>
      <c r="F19" s="72"/>
    </row>
    <row r="20" spans="3:6" s="49" customFormat="1" hidden="1" outlineLevel="1">
      <c r="C20" s="20"/>
      <c r="D20" s="41" t="s">
        <v>83</v>
      </c>
      <c r="E20" s="71"/>
      <c r="F20" s="71"/>
    </row>
    <row r="21" spans="3:6" s="49" customFormat="1" hidden="1" outlineLevel="1">
      <c r="C21" s="20"/>
      <c r="D21" s="20" t="s">
        <v>78</v>
      </c>
      <c r="E21" s="71"/>
      <c r="F21" s="71"/>
    </row>
    <row r="22" spans="3:6" s="75" customFormat="1" hidden="1" outlineLevel="1">
      <c r="C22" s="41"/>
      <c r="D22" s="41" t="s">
        <v>83</v>
      </c>
      <c r="E22" s="250"/>
      <c r="F22" s="250"/>
    </row>
    <row r="23" spans="3:6" s="49" customFormat="1" hidden="1" outlineLevel="1">
      <c r="C23" s="20"/>
      <c r="D23" s="20" t="s">
        <v>79</v>
      </c>
      <c r="E23" s="71"/>
      <c r="F23" s="71"/>
    </row>
    <row r="24" spans="3:6" s="75" customFormat="1" hidden="1" outlineLevel="1">
      <c r="C24" s="41"/>
      <c r="D24" s="41" t="s">
        <v>83</v>
      </c>
      <c r="E24" s="250"/>
      <c r="F24" s="250"/>
    </row>
    <row r="25" spans="3:6" s="49" customFormat="1" ht="4.5" hidden="1" customHeight="1" outlineLevel="1">
      <c r="C25" s="20"/>
      <c r="D25" s="41"/>
      <c r="E25" s="71"/>
      <c r="F25" s="71"/>
    </row>
    <row r="26" spans="3:6" s="49" customFormat="1" hidden="1" outlineLevel="1">
      <c r="C26" s="74"/>
      <c r="D26" s="74" t="s">
        <v>74</v>
      </c>
      <c r="E26" s="72"/>
      <c r="F26" s="72"/>
    </row>
    <row r="27" spans="3:6" s="49" customFormat="1" hidden="1" outlineLevel="1">
      <c r="C27" s="76"/>
      <c r="D27" s="77" t="s">
        <v>83</v>
      </c>
      <c r="E27" s="78"/>
      <c r="F27" s="78"/>
    </row>
    <row r="28" spans="3:6" ht="4.5" hidden="1" customHeight="1" outlineLevel="1">
      <c r="C28" s="13"/>
      <c r="D28" s="22"/>
      <c r="E28" s="57"/>
      <c r="F28" s="57"/>
    </row>
    <row r="29" spans="3:6" hidden="1" outlineLevel="1">
      <c r="C29" s="4" t="s">
        <v>80</v>
      </c>
      <c r="D29" s="46"/>
      <c r="E29" s="56"/>
      <c r="F29" s="56"/>
    </row>
    <row r="30" spans="3:6" ht="7.5" customHeight="1" collapsed="1">
      <c r="C30" s="59"/>
      <c r="D30" s="59"/>
      <c r="E30" s="257"/>
      <c r="F30" s="257"/>
    </row>
    <row r="31" spans="3:6" ht="15.75" customHeight="1">
      <c r="C31" s="63" t="s">
        <v>122</v>
      </c>
      <c r="D31" s="64"/>
      <c r="E31" s="67" t="s">
        <v>2</v>
      </c>
      <c r="F31" s="67" t="s">
        <v>123</v>
      </c>
    </row>
    <row r="32" spans="3:6">
      <c r="C32" s="70"/>
      <c r="D32" s="68" t="s">
        <v>17</v>
      </c>
      <c r="E32" s="65">
        <v>0</v>
      </c>
      <c r="F32" s="436">
        <f>E32/E35</f>
        <v>0</v>
      </c>
    </row>
    <row r="33" spans="3:6">
      <c r="C33" s="70"/>
      <c r="D33" s="68" t="s">
        <v>125</v>
      </c>
      <c r="E33" s="65">
        <v>0</v>
      </c>
      <c r="F33" s="436">
        <f>E33/E35</f>
        <v>0</v>
      </c>
    </row>
    <row r="34" spans="3:6">
      <c r="C34" s="70"/>
      <c r="D34" s="69" t="s">
        <v>119</v>
      </c>
      <c r="E34" s="437">
        <v>40000</v>
      </c>
      <c r="F34" s="436">
        <f>E34/E35</f>
        <v>1</v>
      </c>
    </row>
    <row r="35" spans="3:6" ht="18" customHeight="1">
      <c r="C35" s="66" t="s">
        <v>124</v>
      </c>
      <c r="D35" s="251"/>
      <c r="E35" s="252">
        <f>SUM(E32:E34)</f>
        <v>40000</v>
      </c>
      <c r="F35" s="253">
        <f>SUM(F32:F34)</f>
        <v>1</v>
      </c>
    </row>
    <row r="36" spans="3:6">
      <c r="E36" s="55"/>
      <c r="F36" s="55"/>
    </row>
    <row r="37" spans="3:6">
      <c r="E37" s="55"/>
      <c r="F37" s="55"/>
    </row>
    <row r="38" spans="3:6">
      <c r="E38" s="55"/>
      <c r="F38" s="55"/>
    </row>
    <row r="39" spans="3:6">
      <c r="E39" s="55"/>
      <c r="F39" s="55"/>
    </row>
    <row r="40" spans="3:6">
      <c r="E40" s="55"/>
      <c r="F40" s="55"/>
    </row>
    <row r="41" spans="3:6">
      <c r="E41" s="55"/>
      <c r="F41" s="55"/>
    </row>
    <row r="42" spans="3:6">
      <c r="E42" s="55"/>
      <c r="F42" s="55"/>
    </row>
    <row r="43" spans="3:6">
      <c r="E43" s="55"/>
      <c r="F43" s="55"/>
    </row>
    <row r="44" spans="3:6">
      <c r="E44" s="55"/>
      <c r="F44" s="55"/>
    </row>
    <row r="45" spans="3:6">
      <c r="E45" s="55"/>
      <c r="F45" s="55"/>
    </row>
    <row r="46" spans="3:6">
      <c r="E46" s="55"/>
      <c r="F46" s="55"/>
    </row>
    <row r="47" spans="3:6">
      <c r="E47" s="55"/>
      <c r="F47" s="55"/>
    </row>
    <row r="48" spans="3:6">
      <c r="E48" s="55"/>
      <c r="F48" s="55"/>
    </row>
    <row r="49" spans="5:6">
      <c r="E49" s="55"/>
      <c r="F49" s="55"/>
    </row>
    <row r="50" spans="5:6">
      <c r="E50" s="55"/>
      <c r="F50" s="55"/>
    </row>
    <row r="51" spans="5:6">
      <c r="E51" s="55"/>
      <c r="F51" s="55"/>
    </row>
    <row r="52" spans="5:6">
      <c r="E52" s="55"/>
      <c r="F52" s="55"/>
    </row>
    <row r="53" spans="5:6">
      <c r="E53" s="55"/>
      <c r="F53" s="55"/>
    </row>
  </sheetData>
  <mergeCells count="1">
    <mergeCell ref="C4:F4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7</vt:i4>
      </vt:variant>
    </vt:vector>
  </HeadingPairs>
  <TitlesOfParts>
    <vt:vector size="14" baseType="lpstr">
      <vt:lpstr>cash flow statement</vt:lpstr>
      <vt:lpstr>Αποτ. Χρήσεως</vt:lpstr>
      <vt:lpstr>Έσοδα από παραγωγή &amp; εμπορία</vt:lpstr>
      <vt:lpstr>Κόστος Πωλήσεων</vt:lpstr>
      <vt:lpstr>Έξοδα Λειτουργίας</vt:lpstr>
      <vt:lpstr>Δανεισμός</vt:lpstr>
      <vt:lpstr>Αρχική Επένδυση (€)</vt:lpstr>
      <vt:lpstr>'cash flow statement'!Print_Area</vt:lpstr>
      <vt:lpstr>'Αποτ. Χρήσεως'!Print_Area</vt:lpstr>
      <vt:lpstr>'Αρχική Επένδυση (€)'!Print_Area</vt:lpstr>
      <vt:lpstr>Δανεισμός!Print_Area</vt:lpstr>
      <vt:lpstr>'Έξοδα Λειτουργίας'!Print_Area</vt:lpstr>
      <vt:lpstr>'Έσοδα από παραγωγή &amp; εμπορία'!Print_Area</vt:lpstr>
      <vt:lpstr>'Κόστος Πωλήσεων'!Print_Area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ΧΑΡΑΛΑΜΠΟΣ ΚΩΣΤΟΓΛΟΥ</dc:creator>
  <cp:lastModifiedBy>c.kostoglou</cp:lastModifiedBy>
  <cp:lastPrinted>2017-08-17T08:08:44Z</cp:lastPrinted>
  <dcterms:created xsi:type="dcterms:W3CDTF">2002-06-07T12:15:58Z</dcterms:created>
  <dcterms:modified xsi:type="dcterms:W3CDTF">2017-08-17T09:38:56Z</dcterms:modified>
</cp:coreProperties>
</file>